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9660" windowHeight="5490" activeTab="1"/>
  </bookViews>
  <sheets>
    <sheet name="Krycí list rozpočtu" sheetId="3" r:id="rId1"/>
    <sheet name="Stavební rozpočet - součet" sheetId="2" r:id="rId2"/>
    <sheet name="Stavební rozpočet" sheetId="1" r:id="rId3"/>
  </sheets>
  <definedNames>
    <definedName name="_xlnm.Print_Area" localSheetId="0">'Krycí list rozpočtu'!$A$1:$I$35</definedName>
    <definedName name="_xlnm.Print_Area" localSheetId="2">'Stavební rozpočet'!$A$1:$L$359</definedName>
  </definedNames>
  <calcPr calcId="145621"/>
</workbook>
</file>

<file path=xl/calcChain.xml><?xml version="1.0" encoding="utf-8"?>
<calcChain xmlns="http://schemas.openxmlformats.org/spreadsheetml/2006/main">
  <c r="K356" i="1" l="1"/>
  <c r="I356" i="1"/>
  <c r="G356" i="1"/>
  <c r="G355" i="1" s="1"/>
  <c r="K355" i="1"/>
  <c r="C2" i="3"/>
  <c r="F2" i="3"/>
  <c r="C4" i="3"/>
  <c r="F4" i="3"/>
  <c r="C6" i="3"/>
  <c r="F6" i="3"/>
  <c r="C8" i="3"/>
  <c r="F8" i="3"/>
  <c r="C10" i="3"/>
  <c r="F10" i="3"/>
  <c r="I10" i="3"/>
  <c r="F22" i="3"/>
  <c r="I22" i="3"/>
  <c r="I13" i="1"/>
  <c r="K13" i="1"/>
  <c r="P13" i="1"/>
  <c r="T13" i="1"/>
  <c r="U13" i="1"/>
  <c r="V13" i="1"/>
  <c r="W13" i="1"/>
  <c r="X13" i="1"/>
  <c r="Z13" i="1"/>
  <c r="AI12" i="1" s="1"/>
  <c r="AA13" i="1"/>
  <c r="AJ12" i="1" s="1"/>
  <c r="AB13" i="1"/>
  <c r="AE13" i="1"/>
  <c r="G13" i="1" s="1"/>
  <c r="AF13" i="1"/>
  <c r="AM13" i="1"/>
  <c r="AS13" i="1" s="1"/>
  <c r="AN13" i="1"/>
  <c r="AT13" i="1"/>
  <c r="AV13" i="1"/>
  <c r="I16" i="1"/>
  <c r="K16" i="1"/>
  <c r="K12" i="1" s="1"/>
  <c r="P16" i="1"/>
  <c r="T16" i="1"/>
  <c r="U16" i="1"/>
  <c r="V16" i="1"/>
  <c r="W16" i="1"/>
  <c r="X16" i="1"/>
  <c r="Z16" i="1"/>
  <c r="AA16" i="1"/>
  <c r="AB16" i="1"/>
  <c r="AE16" i="1"/>
  <c r="G16" i="1" s="1"/>
  <c r="R16" i="1" s="1"/>
  <c r="AF16" i="1"/>
  <c r="AN16" i="1" s="1"/>
  <c r="AT16" i="1"/>
  <c r="I18" i="1"/>
  <c r="K18" i="1"/>
  <c r="P18" i="1"/>
  <c r="T18" i="1"/>
  <c r="U18" i="1"/>
  <c r="V18" i="1"/>
  <c r="W18" i="1"/>
  <c r="X18" i="1"/>
  <c r="Z18" i="1"/>
  <c r="AA18" i="1"/>
  <c r="AB18" i="1"/>
  <c r="AE18" i="1"/>
  <c r="G18" i="1" s="1"/>
  <c r="R18" i="1" s="1"/>
  <c r="AF18" i="1"/>
  <c r="AM18" i="1"/>
  <c r="AS18" i="1" s="1"/>
  <c r="AN18" i="1"/>
  <c r="AT18" i="1"/>
  <c r="AV18" i="1"/>
  <c r="I24" i="1"/>
  <c r="H24" i="1" s="1"/>
  <c r="S24" i="1" s="1"/>
  <c r="K24" i="1"/>
  <c r="AV24" i="1" s="1"/>
  <c r="P24" i="1"/>
  <c r="T24" i="1"/>
  <c r="U24" i="1"/>
  <c r="V24" i="1"/>
  <c r="W24" i="1"/>
  <c r="X24" i="1"/>
  <c r="Z24" i="1"/>
  <c r="AA24" i="1"/>
  <c r="AB24" i="1"/>
  <c r="AE24" i="1"/>
  <c r="G24" i="1" s="1"/>
  <c r="R24" i="1" s="1"/>
  <c r="AF24" i="1"/>
  <c r="AN24" i="1" s="1"/>
  <c r="AT24" i="1"/>
  <c r="I26" i="1"/>
  <c r="H26" i="1" s="1"/>
  <c r="S26" i="1" s="1"/>
  <c r="K26" i="1"/>
  <c r="P26" i="1"/>
  <c r="T26" i="1"/>
  <c r="U26" i="1"/>
  <c r="V26" i="1"/>
  <c r="W26" i="1"/>
  <c r="X26" i="1"/>
  <c r="Z26" i="1"/>
  <c r="AA26" i="1"/>
  <c r="AB26" i="1"/>
  <c r="AE26" i="1"/>
  <c r="G26" i="1" s="1"/>
  <c r="R26" i="1" s="1"/>
  <c r="AF26" i="1"/>
  <c r="AM26" i="1"/>
  <c r="AS26" i="1" s="1"/>
  <c r="AN26" i="1"/>
  <c r="AT26" i="1"/>
  <c r="AV26" i="1"/>
  <c r="I28" i="1"/>
  <c r="K28" i="1"/>
  <c r="P28" i="1"/>
  <c r="T28" i="1"/>
  <c r="U28" i="1"/>
  <c r="V28" i="1"/>
  <c r="W28" i="1"/>
  <c r="X28" i="1"/>
  <c r="Z28" i="1"/>
  <c r="AA28" i="1"/>
  <c r="AB28" i="1"/>
  <c r="AE28" i="1"/>
  <c r="G28" i="1" s="1"/>
  <c r="R28" i="1" s="1"/>
  <c r="AF28" i="1"/>
  <c r="AN28" i="1" s="1"/>
  <c r="AT28" i="1"/>
  <c r="AV28" i="1"/>
  <c r="I30" i="1"/>
  <c r="H30" i="1" s="1"/>
  <c r="S30" i="1" s="1"/>
  <c r="K30" i="1"/>
  <c r="P30" i="1"/>
  <c r="T30" i="1"/>
  <c r="U30" i="1"/>
  <c r="V30" i="1"/>
  <c r="W30" i="1"/>
  <c r="X30" i="1"/>
  <c r="Z30" i="1"/>
  <c r="AA30" i="1"/>
  <c r="AB30" i="1"/>
  <c r="AE30" i="1"/>
  <c r="G30" i="1" s="1"/>
  <c r="R30" i="1" s="1"/>
  <c r="AF30" i="1"/>
  <c r="AM30" i="1"/>
  <c r="AS30" i="1" s="1"/>
  <c r="AN30" i="1"/>
  <c r="AT30" i="1"/>
  <c r="AV30" i="1"/>
  <c r="I33" i="1"/>
  <c r="K33" i="1"/>
  <c r="P33" i="1"/>
  <c r="T33" i="1"/>
  <c r="U33" i="1"/>
  <c r="V33" i="1"/>
  <c r="W33" i="1"/>
  <c r="X33" i="1"/>
  <c r="Z33" i="1"/>
  <c r="AA33" i="1"/>
  <c r="AB33" i="1"/>
  <c r="AE33" i="1"/>
  <c r="G33" i="1" s="1"/>
  <c r="R33" i="1" s="1"/>
  <c r="AF33" i="1"/>
  <c r="AN33" i="1" s="1"/>
  <c r="AM33" i="1"/>
  <c r="AT33" i="1"/>
  <c r="AV33" i="1"/>
  <c r="I35" i="1"/>
  <c r="K35" i="1"/>
  <c r="P35" i="1"/>
  <c r="T35" i="1"/>
  <c r="U35" i="1"/>
  <c r="V35" i="1"/>
  <c r="W35" i="1"/>
  <c r="X35" i="1"/>
  <c r="Z35" i="1"/>
  <c r="AA35" i="1"/>
  <c r="AB35" i="1"/>
  <c r="AE35" i="1"/>
  <c r="G35" i="1" s="1"/>
  <c r="R35" i="1" s="1"/>
  <c r="AF35" i="1"/>
  <c r="AM35" i="1"/>
  <c r="AS35" i="1" s="1"/>
  <c r="AN35" i="1"/>
  <c r="AT35" i="1"/>
  <c r="AV35" i="1"/>
  <c r="G37" i="1"/>
  <c r="R37" i="1" s="1"/>
  <c r="I37" i="1"/>
  <c r="H37" i="1" s="1"/>
  <c r="S37" i="1" s="1"/>
  <c r="K37" i="1"/>
  <c r="P37" i="1"/>
  <c r="T37" i="1"/>
  <c r="U37" i="1"/>
  <c r="V37" i="1"/>
  <c r="W37" i="1"/>
  <c r="X37" i="1"/>
  <c r="Z37" i="1"/>
  <c r="AA37" i="1"/>
  <c r="AB37" i="1"/>
  <c r="AE37" i="1"/>
  <c r="AF37" i="1"/>
  <c r="AN37" i="1" s="1"/>
  <c r="AM37" i="1"/>
  <c r="AS37" i="1" s="1"/>
  <c r="AT37" i="1"/>
  <c r="AV37" i="1"/>
  <c r="I40" i="1"/>
  <c r="K40" i="1"/>
  <c r="K39" i="1" s="1"/>
  <c r="P40" i="1"/>
  <c r="T40" i="1"/>
  <c r="U40" i="1"/>
  <c r="V40" i="1"/>
  <c r="W40" i="1"/>
  <c r="X40" i="1"/>
  <c r="Z40" i="1"/>
  <c r="AI39" i="1" s="1"/>
  <c r="AA40" i="1"/>
  <c r="AJ39" i="1" s="1"/>
  <c r="AB40" i="1"/>
  <c r="AK39" i="1" s="1"/>
  <c r="AE40" i="1"/>
  <c r="AM40" i="1" s="1"/>
  <c r="AS40" i="1" s="1"/>
  <c r="AF40" i="1"/>
  <c r="AN40" i="1"/>
  <c r="AT40" i="1"/>
  <c r="AV40" i="1"/>
  <c r="I44" i="1"/>
  <c r="K44" i="1"/>
  <c r="P44" i="1"/>
  <c r="T44" i="1"/>
  <c r="U44" i="1"/>
  <c r="V44" i="1"/>
  <c r="W44" i="1"/>
  <c r="X44" i="1"/>
  <c r="Z44" i="1"/>
  <c r="AA44" i="1"/>
  <c r="AB44" i="1"/>
  <c r="AE44" i="1"/>
  <c r="G44" i="1" s="1"/>
  <c r="AF44" i="1"/>
  <c r="AM44" i="1"/>
  <c r="AS44" i="1" s="1"/>
  <c r="AN44" i="1"/>
  <c r="AT44" i="1"/>
  <c r="AV44" i="1"/>
  <c r="I46" i="1"/>
  <c r="K46" i="1"/>
  <c r="P46" i="1"/>
  <c r="T46" i="1"/>
  <c r="U46" i="1"/>
  <c r="V46" i="1"/>
  <c r="W46" i="1"/>
  <c r="X46" i="1"/>
  <c r="Z46" i="1"/>
  <c r="AA46" i="1"/>
  <c r="AB46" i="1"/>
  <c r="AE46" i="1"/>
  <c r="AM46" i="1" s="1"/>
  <c r="AF46" i="1"/>
  <c r="AN46" i="1" s="1"/>
  <c r="AT46" i="1"/>
  <c r="AV46" i="1"/>
  <c r="I53" i="1"/>
  <c r="K53" i="1"/>
  <c r="K52" i="1" s="1"/>
  <c r="P53" i="1"/>
  <c r="T53" i="1"/>
  <c r="U53" i="1"/>
  <c r="V53" i="1"/>
  <c r="W53" i="1"/>
  <c r="X53" i="1"/>
  <c r="Z53" i="1"/>
  <c r="AI52" i="1" s="1"/>
  <c r="AA53" i="1"/>
  <c r="AJ52" i="1" s="1"/>
  <c r="AB53" i="1"/>
  <c r="AK52" i="1" s="1"/>
  <c r="AE53" i="1"/>
  <c r="G53" i="1" s="1"/>
  <c r="AF53" i="1"/>
  <c r="AM53" i="1"/>
  <c r="AN53" i="1"/>
  <c r="AS53" i="1" s="1"/>
  <c r="AT53" i="1"/>
  <c r="AV53" i="1"/>
  <c r="I55" i="1"/>
  <c r="K55" i="1"/>
  <c r="P55" i="1"/>
  <c r="T55" i="1"/>
  <c r="U55" i="1"/>
  <c r="V55" i="1"/>
  <c r="W55" i="1"/>
  <c r="X55" i="1"/>
  <c r="Z55" i="1"/>
  <c r="AA55" i="1"/>
  <c r="AB55" i="1"/>
  <c r="AE55" i="1"/>
  <c r="G55" i="1" s="1"/>
  <c r="AF55" i="1"/>
  <c r="AN55" i="1" s="1"/>
  <c r="AM55" i="1"/>
  <c r="AT55" i="1"/>
  <c r="AV55" i="1"/>
  <c r="I59" i="1"/>
  <c r="K59" i="1"/>
  <c r="K58" i="1" s="1"/>
  <c r="P59" i="1"/>
  <c r="T59" i="1"/>
  <c r="U59" i="1"/>
  <c r="V59" i="1"/>
  <c r="W59" i="1"/>
  <c r="X59" i="1"/>
  <c r="Z59" i="1"/>
  <c r="AI58" i="1" s="1"/>
  <c r="AA59" i="1"/>
  <c r="AJ58" i="1" s="1"/>
  <c r="AB59" i="1"/>
  <c r="AK58" i="1" s="1"/>
  <c r="AE59" i="1"/>
  <c r="AM59" i="1" s="1"/>
  <c r="AF59" i="1"/>
  <c r="AN59" i="1" s="1"/>
  <c r="AT59" i="1"/>
  <c r="AV59" i="1"/>
  <c r="I62" i="1"/>
  <c r="K62" i="1"/>
  <c r="P62" i="1"/>
  <c r="T62" i="1"/>
  <c r="U62" i="1"/>
  <c r="V62" i="1"/>
  <c r="W62" i="1"/>
  <c r="X62" i="1"/>
  <c r="Z62" i="1"/>
  <c r="AA62" i="1"/>
  <c r="AB62" i="1"/>
  <c r="AE62" i="1"/>
  <c r="G62" i="1" s="1"/>
  <c r="R62" i="1" s="1"/>
  <c r="AF62" i="1"/>
  <c r="AM62" i="1"/>
  <c r="AS62" i="1" s="1"/>
  <c r="AN62" i="1"/>
  <c r="AT62" i="1"/>
  <c r="AV62" i="1"/>
  <c r="I64" i="1"/>
  <c r="K64" i="1"/>
  <c r="P64" i="1"/>
  <c r="T64" i="1"/>
  <c r="U64" i="1"/>
  <c r="V64" i="1"/>
  <c r="W64" i="1"/>
  <c r="X64" i="1"/>
  <c r="Z64" i="1"/>
  <c r="AA64" i="1"/>
  <c r="AB64" i="1"/>
  <c r="AE64" i="1"/>
  <c r="AM64" i="1" s="1"/>
  <c r="AF64" i="1"/>
  <c r="AN64" i="1" s="1"/>
  <c r="AT64" i="1"/>
  <c r="AV64" i="1"/>
  <c r="I67" i="1"/>
  <c r="K67" i="1"/>
  <c r="P67" i="1"/>
  <c r="T67" i="1"/>
  <c r="U67" i="1"/>
  <c r="V67" i="1"/>
  <c r="W67" i="1"/>
  <c r="X67" i="1"/>
  <c r="Z67" i="1"/>
  <c r="AA67" i="1"/>
  <c r="AB67" i="1"/>
  <c r="AE67" i="1"/>
  <c r="G67" i="1" s="1"/>
  <c r="R67" i="1" s="1"/>
  <c r="AF67" i="1"/>
  <c r="AM67" i="1"/>
  <c r="AS67" i="1" s="1"/>
  <c r="AN67" i="1"/>
  <c r="AT67" i="1"/>
  <c r="AV67" i="1"/>
  <c r="I70" i="1"/>
  <c r="K70" i="1"/>
  <c r="K69" i="1" s="1"/>
  <c r="P70" i="1"/>
  <c r="T70" i="1"/>
  <c r="U70" i="1"/>
  <c r="V70" i="1"/>
  <c r="W70" i="1"/>
  <c r="X70" i="1"/>
  <c r="Z70" i="1"/>
  <c r="AI69" i="1" s="1"/>
  <c r="AA70" i="1"/>
  <c r="AJ69" i="1" s="1"/>
  <c r="AB70" i="1"/>
  <c r="AK69" i="1" s="1"/>
  <c r="AE70" i="1"/>
  <c r="G70" i="1" s="1"/>
  <c r="AF70" i="1"/>
  <c r="AN70" i="1" s="1"/>
  <c r="AM70" i="1"/>
  <c r="AT70" i="1"/>
  <c r="AV70" i="1"/>
  <c r="I74" i="1"/>
  <c r="H74" i="1" s="1"/>
  <c r="S74" i="1" s="1"/>
  <c r="K74" i="1"/>
  <c r="P74" i="1"/>
  <c r="T74" i="1"/>
  <c r="U74" i="1"/>
  <c r="V74" i="1"/>
  <c r="W74" i="1"/>
  <c r="X74" i="1"/>
  <c r="Z74" i="1"/>
  <c r="AA74" i="1"/>
  <c r="AB74" i="1"/>
  <c r="AE74" i="1"/>
  <c r="G74" i="1" s="1"/>
  <c r="R74" i="1" s="1"/>
  <c r="AF74" i="1"/>
  <c r="AN74" i="1"/>
  <c r="AT74" i="1"/>
  <c r="AV74" i="1"/>
  <c r="I78" i="1"/>
  <c r="K78" i="1"/>
  <c r="P78" i="1"/>
  <c r="T78" i="1"/>
  <c r="U78" i="1"/>
  <c r="V78" i="1"/>
  <c r="W78" i="1"/>
  <c r="X78" i="1"/>
  <c r="Z78" i="1"/>
  <c r="AI77" i="1" s="1"/>
  <c r="AA78" i="1"/>
  <c r="AJ77" i="1" s="1"/>
  <c r="AB78" i="1"/>
  <c r="AK77" i="1" s="1"/>
  <c r="AE78" i="1"/>
  <c r="G78" i="1" s="1"/>
  <c r="AF78" i="1"/>
  <c r="AN78" i="1" s="1"/>
  <c r="AM78" i="1"/>
  <c r="AT78" i="1"/>
  <c r="AV78" i="1"/>
  <c r="I83" i="1"/>
  <c r="K83" i="1"/>
  <c r="AV83" i="1" s="1"/>
  <c r="P83" i="1"/>
  <c r="T83" i="1"/>
  <c r="U83" i="1"/>
  <c r="V83" i="1"/>
  <c r="W83" i="1"/>
  <c r="X83" i="1"/>
  <c r="Z83" i="1"/>
  <c r="AA83" i="1"/>
  <c r="AB83" i="1"/>
  <c r="AE83" i="1"/>
  <c r="AM83" i="1" s="1"/>
  <c r="AS83" i="1" s="1"/>
  <c r="AF83" i="1"/>
  <c r="AN83" i="1"/>
  <c r="AT83" i="1"/>
  <c r="I87" i="1"/>
  <c r="K87" i="1"/>
  <c r="K86" i="1" s="1"/>
  <c r="P87" i="1"/>
  <c r="T87" i="1"/>
  <c r="U87" i="1"/>
  <c r="V87" i="1"/>
  <c r="W87" i="1"/>
  <c r="X87" i="1"/>
  <c r="Z87" i="1"/>
  <c r="AA87" i="1"/>
  <c r="AJ86" i="1" s="1"/>
  <c r="AB87" i="1"/>
  <c r="AK86" i="1" s="1"/>
  <c r="AE87" i="1"/>
  <c r="G87" i="1" s="1"/>
  <c r="AF87" i="1"/>
  <c r="AM87" i="1"/>
  <c r="AS87" i="1" s="1"/>
  <c r="AN87" i="1"/>
  <c r="AT87" i="1"/>
  <c r="AV87" i="1"/>
  <c r="I89" i="1"/>
  <c r="K89" i="1"/>
  <c r="P89" i="1"/>
  <c r="T89" i="1"/>
  <c r="U89" i="1"/>
  <c r="V89" i="1"/>
  <c r="W89" i="1"/>
  <c r="X89" i="1"/>
  <c r="Z89" i="1"/>
  <c r="AI86" i="1" s="1"/>
  <c r="AA89" i="1"/>
  <c r="AB89" i="1"/>
  <c r="AE89" i="1"/>
  <c r="G89" i="1" s="1"/>
  <c r="AF89" i="1"/>
  <c r="AN89" i="1" s="1"/>
  <c r="AT89" i="1"/>
  <c r="AV89" i="1"/>
  <c r="I91" i="1"/>
  <c r="H91" i="1" s="1"/>
  <c r="S91" i="1" s="1"/>
  <c r="K91" i="1"/>
  <c r="P91" i="1"/>
  <c r="T91" i="1"/>
  <c r="U91" i="1"/>
  <c r="V91" i="1"/>
  <c r="W91" i="1"/>
  <c r="X91" i="1"/>
  <c r="Z91" i="1"/>
  <c r="AA91" i="1"/>
  <c r="AB91" i="1"/>
  <c r="AE91" i="1"/>
  <c r="G91" i="1" s="1"/>
  <c r="R91" i="1" s="1"/>
  <c r="AF91" i="1"/>
  <c r="AM91" i="1"/>
  <c r="AS91" i="1" s="1"/>
  <c r="AN91" i="1"/>
  <c r="AT91" i="1"/>
  <c r="AV91" i="1"/>
  <c r="I93" i="1"/>
  <c r="K93" i="1"/>
  <c r="P93" i="1"/>
  <c r="T93" i="1"/>
  <c r="U93" i="1"/>
  <c r="V93" i="1"/>
  <c r="W93" i="1"/>
  <c r="X93" i="1"/>
  <c r="Z93" i="1"/>
  <c r="AA93" i="1"/>
  <c r="AB93" i="1"/>
  <c r="AE93" i="1"/>
  <c r="G93" i="1" s="1"/>
  <c r="AF93" i="1"/>
  <c r="AN93" i="1" s="1"/>
  <c r="AT93" i="1"/>
  <c r="AV93" i="1"/>
  <c r="I95" i="1"/>
  <c r="H95" i="1" s="1"/>
  <c r="S95" i="1" s="1"/>
  <c r="K95" i="1"/>
  <c r="P95" i="1"/>
  <c r="T95" i="1"/>
  <c r="U95" i="1"/>
  <c r="V95" i="1"/>
  <c r="W95" i="1"/>
  <c r="X95" i="1"/>
  <c r="Z95" i="1"/>
  <c r="AA95" i="1"/>
  <c r="AB95" i="1"/>
  <c r="AE95" i="1"/>
  <c r="G95" i="1" s="1"/>
  <c r="R95" i="1" s="1"/>
  <c r="AF95" i="1"/>
  <c r="AM95" i="1"/>
  <c r="AS95" i="1" s="1"/>
  <c r="AN95" i="1"/>
  <c r="AT95" i="1"/>
  <c r="AV95" i="1"/>
  <c r="I97" i="1"/>
  <c r="K97" i="1"/>
  <c r="P97" i="1"/>
  <c r="T97" i="1"/>
  <c r="U97" i="1"/>
  <c r="V97" i="1"/>
  <c r="W97" i="1"/>
  <c r="X97" i="1"/>
  <c r="Z97" i="1"/>
  <c r="AA97" i="1"/>
  <c r="AB97" i="1"/>
  <c r="AE97" i="1"/>
  <c r="G97" i="1" s="1"/>
  <c r="AF97" i="1"/>
  <c r="AN97" i="1" s="1"/>
  <c r="AT97" i="1"/>
  <c r="AV97" i="1"/>
  <c r="I100" i="1"/>
  <c r="K100" i="1"/>
  <c r="AV100" i="1" s="1"/>
  <c r="P100" i="1"/>
  <c r="T100" i="1"/>
  <c r="U100" i="1"/>
  <c r="V100" i="1"/>
  <c r="W100" i="1"/>
  <c r="X100" i="1"/>
  <c r="Z100" i="1"/>
  <c r="AI99" i="1" s="1"/>
  <c r="AA100" i="1"/>
  <c r="AJ99" i="1" s="1"/>
  <c r="AB100" i="1"/>
  <c r="AK99" i="1" s="1"/>
  <c r="AE100" i="1"/>
  <c r="AM100" i="1" s="1"/>
  <c r="AS100" i="1" s="1"/>
  <c r="AF100" i="1"/>
  <c r="AN100" i="1"/>
  <c r="AT100" i="1"/>
  <c r="I103" i="1"/>
  <c r="K103" i="1"/>
  <c r="P103" i="1"/>
  <c r="T103" i="1"/>
  <c r="U103" i="1"/>
  <c r="V103" i="1"/>
  <c r="W103" i="1"/>
  <c r="X103" i="1"/>
  <c r="Z103" i="1"/>
  <c r="AA103" i="1"/>
  <c r="AB103" i="1"/>
  <c r="AE103" i="1"/>
  <c r="G103" i="1" s="1"/>
  <c r="AF103" i="1"/>
  <c r="AN103" i="1" s="1"/>
  <c r="AM103" i="1"/>
  <c r="AS103" i="1" s="1"/>
  <c r="AT103" i="1"/>
  <c r="AV103" i="1"/>
  <c r="I105" i="1"/>
  <c r="K105" i="1"/>
  <c r="AV105" i="1" s="1"/>
  <c r="P105" i="1"/>
  <c r="T105" i="1"/>
  <c r="U105" i="1"/>
  <c r="V105" i="1"/>
  <c r="W105" i="1"/>
  <c r="X105" i="1"/>
  <c r="Z105" i="1"/>
  <c r="AA105" i="1"/>
  <c r="AB105" i="1"/>
  <c r="AE105" i="1"/>
  <c r="AM105" i="1" s="1"/>
  <c r="AS105" i="1" s="1"/>
  <c r="AF105" i="1"/>
  <c r="AN105" i="1"/>
  <c r="AT105" i="1"/>
  <c r="G107" i="1"/>
  <c r="H107" i="1"/>
  <c r="S107" i="1" s="1"/>
  <c r="I107" i="1"/>
  <c r="K107" i="1"/>
  <c r="P107" i="1"/>
  <c r="R107" i="1"/>
  <c r="T107" i="1"/>
  <c r="U107" i="1"/>
  <c r="V107" i="1"/>
  <c r="W107" i="1"/>
  <c r="X107" i="1"/>
  <c r="Z107" i="1"/>
  <c r="AA107" i="1"/>
  <c r="AB107" i="1"/>
  <c r="AE107" i="1"/>
  <c r="AF107" i="1"/>
  <c r="AN107" i="1" s="1"/>
  <c r="AM107" i="1"/>
  <c r="AT107" i="1"/>
  <c r="AV107" i="1"/>
  <c r="I110" i="1"/>
  <c r="K110" i="1"/>
  <c r="P110" i="1"/>
  <c r="T110" i="1"/>
  <c r="U110" i="1"/>
  <c r="V110" i="1"/>
  <c r="W110" i="1"/>
  <c r="X110" i="1"/>
  <c r="Z110" i="1"/>
  <c r="AI109" i="1" s="1"/>
  <c r="AA110" i="1"/>
  <c r="AB110" i="1"/>
  <c r="AE110" i="1"/>
  <c r="G110" i="1" s="1"/>
  <c r="AF110" i="1"/>
  <c r="AN110" i="1" s="1"/>
  <c r="AM110" i="1"/>
  <c r="AT110" i="1"/>
  <c r="AV110" i="1"/>
  <c r="I112" i="1"/>
  <c r="K112" i="1"/>
  <c r="K109" i="1" s="1"/>
  <c r="P112" i="1"/>
  <c r="T112" i="1"/>
  <c r="U112" i="1"/>
  <c r="V112" i="1"/>
  <c r="W112" i="1"/>
  <c r="X112" i="1"/>
  <c r="Z112" i="1"/>
  <c r="AA112" i="1"/>
  <c r="AB112" i="1"/>
  <c r="AE112" i="1"/>
  <c r="G112" i="1" s="1"/>
  <c r="R112" i="1" s="1"/>
  <c r="AF112" i="1"/>
  <c r="AN112" i="1"/>
  <c r="AT112" i="1"/>
  <c r="AV112" i="1"/>
  <c r="G115" i="1"/>
  <c r="R115" i="1" s="1"/>
  <c r="I115" i="1"/>
  <c r="H115" i="1" s="1"/>
  <c r="K115" i="1"/>
  <c r="K114" i="1" s="1"/>
  <c r="P115" i="1"/>
  <c r="T115" i="1"/>
  <c r="U115" i="1"/>
  <c r="V115" i="1"/>
  <c r="W115" i="1"/>
  <c r="X115" i="1"/>
  <c r="Z115" i="1"/>
  <c r="AI114" i="1" s="1"/>
  <c r="AA115" i="1"/>
  <c r="AB115" i="1"/>
  <c r="AE115" i="1"/>
  <c r="AM115" i="1" s="1"/>
  <c r="AS115" i="1" s="1"/>
  <c r="AF115" i="1"/>
  <c r="AN115" i="1" s="1"/>
  <c r="AT115" i="1"/>
  <c r="I118" i="1"/>
  <c r="K118" i="1"/>
  <c r="P118" i="1"/>
  <c r="T118" i="1"/>
  <c r="U118" i="1"/>
  <c r="V118" i="1"/>
  <c r="W118" i="1"/>
  <c r="X118" i="1"/>
  <c r="Z118" i="1"/>
  <c r="AA118" i="1"/>
  <c r="AJ114" i="1" s="1"/>
  <c r="AB118" i="1"/>
  <c r="AE118" i="1"/>
  <c r="G118" i="1" s="1"/>
  <c r="R118" i="1" s="1"/>
  <c r="AF118" i="1"/>
  <c r="AM118" i="1"/>
  <c r="AS118" i="1" s="1"/>
  <c r="AN118" i="1"/>
  <c r="AT118" i="1"/>
  <c r="AV118" i="1"/>
  <c r="G123" i="1"/>
  <c r="R123" i="1" s="1"/>
  <c r="I123" i="1"/>
  <c r="H123" i="1" s="1"/>
  <c r="S123" i="1" s="1"/>
  <c r="K123" i="1"/>
  <c r="AV123" i="1" s="1"/>
  <c r="P123" i="1"/>
  <c r="T123" i="1"/>
  <c r="U123" i="1"/>
  <c r="V123" i="1"/>
  <c r="W123" i="1"/>
  <c r="X123" i="1"/>
  <c r="Z123" i="1"/>
  <c r="AA123" i="1"/>
  <c r="AB123" i="1"/>
  <c r="AE123" i="1"/>
  <c r="AM123" i="1" s="1"/>
  <c r="AS123" i="1" s="1"/>
  <c r="AF123" i="1"/>
  <c r="AN123" i="1" s="1"/>
  <c r="AT123" i="1"/>
  <c r="I127" i="1"/>
  <c r="K127" i="1"/>
  <c r="P127" i="1"/>
  <c r="T127" i="1"/>
  <c r="U127" i="1"/>
  <c r="V127" i="1"/>
  <c r="W127" i="1"/>
  <c r="X127" i="1"/>
  <c r="Z127" i="1"/>
  <c r="AA127" i="1"/>
  <c r="AB127" i="1"/>
  <c r="AE127" i="1"/>
  <c r="G127" i="1" s="1"/>
  <c r="R127" i="1" s="1"/>
  <c r="AF127" i="1"/>
  <c r="AM127" i="1"/>
  <c r="AS127" i="1" s="1"/>
  <c r="AN127" i="1"/>
  <c r="AT127" i="1"/>
  <c r="AV127" i="1"/>
  <c r="G131" i="1"/>
  <c r="R131" i="1" s="1"/>
  <c r="I131" i="1"/>
  <c r="H131" i="1" s="1"/>
  <c r="S131" i="1" s="1"/>
  <c r="K131" i="1"/>
  <c r="AV131" i="1" s="1"/>
  <c r="P131" i="1"/>
  <c r="T131" i="1"/>
  <c r="U131" i="1"/>
  <c r="V131" i="1"/>
  <c r="W131" i="1"/>
  <c r="X131" i="1"/>
  <c r="Z131" i="1"/>
  <c r="AA131" i="1"/>
  <c r="AB131" i="1"/>
  <c r="AE131" i="1"/>
  <c r="AM131" i="1" s="1"/>
  <c r="AS131" i="1" s="1"/>
  <c r="AF131" i="1"/>
  <c r="AN131" i="1" s="1"/>
  <c r="AT131" i="1"/>
  <c r="I133" i="1"/>
  <c r="K133" i="1"/>
  <c r="P133" i="1"/>
  <c r="T133" i="1"/>
  <c r="U133" i="1"/>
  <c r="V133" i="1"/>
  <c r="W133" i="1"/>
  <c r="X133" i="1"/>
  <c r="Z133" i="1"/>
  <c r="AA133" i="1"/>
  <c r="AB133" i="1"/>
  <c r="AE133" i="1"/>
  <c r="G133" i="1" s="1"/>
  <c r="R133" i="1" s="1"/>
  <c r="AF133" i="1"/>
  <c r="AM133" i="1"/>
  <c r="AS133" i="1" s="1"/>
  <c r="AN133" i="1"/>
  <c r="AT133" i="1"/>
  <c r="AV133" i="1"/>
  <c r="G136" i="1"/>
  <c r="R136" i="1" s="1"/>
  <c r="I136" i="1"/>
  <c r="H136" i="1" s="1"/>
  <c r="S136" i="1" s="1"/>
  <c r="K136" i="1"/>
  <c r="P136" i="1"/>
  <c r="T136" i="1"/>
  <c r="U136" i="1"/>
  <c r="V136" i="1"/>
  <c r="W136" i="1"/>
  <c r="X136" i="1"/>
  <c r="Z136" i="1"/>
  <c r="AA136" i="1"/>
  <c r="AB136" i="1"/>
  <c r="AE136" i="1"/>
  <c r="AM136" i="1" s="1"/>
  <c r="AS136" i="1" s="1"/>
  <c r="AF136" i="1"/>
  <c r="AN136" i="1" s="1"/>
  <c r="AT136" i="1"/>
  <c r="AV136" i="1"/>
  <c r="I139" i="1"/>
  <c r="H139" i="1" s="1"/>
  <c r="S139" i="1" s="1"/>
  <c r="K139" i="1"/>
  <c r="P139" i="1"/>
  <c r="T139" i="1"/>
  <c r="U139" i="1"/>
  <c r="V139" i="1"/>
  <c r="W139" i="1"/>
  <c r="X139" i="1"/>
  <c r="Z139" i="1"/>
  <c r="AA139" i="1"/>
  <c r="AB139" i="1"/>
  <c r="AE139" i="1"/>
  <c r="G139" i="1" s="1"/>
  <c r="R139" i="1" s="1"/>
  <c r="AF139" i="1"/>
  <c r="AM139" i="1"/>
  <c r="AS139" i="1" s="1"/>
  <c r="AN139" i="1"/>
  <c r="AT139" i="1"/>
  <c r="AV139" i="1"/>
  <c r="G142" i="1"/>
  <c r="R142" i="1" s="1"/>
  <c r="I142" i="1"/>
  <c r="H142" i="1" s="1"/>
  <c r="S142" i="1" s="1"/>
  <c r="K142" i="1"/>
  <c r="P142" i="1"/>
  <c r="T142" i="1"/>
  <c r="U142" i="1"/>
  <c r="V142" i="1"/>
  <c r="W142" i="1"/>
  <c r="X142" i="1"/>
  <c r="Z142" i="1"/>
  <c r="AA142" i="1"/>
  <c r="AB142" i="1"/>
  <c r="AE142" i="1"/>
  <c r="AM142" i="1" s="1"/>
  <c r="AF142" i="1"/>
  <c r="AN142" i="1" s="1"/>
  <c r="AT142" i="1"/>
  <c r="AV142" i="1"/>
  <c r="I146" i="1"/>
  <c r="K146" i="1"/>
  <c r="P146" i="1"/>
  <c r="T146" i="1"/>
  <c r="U146" i="1"/>
  <c r="V146" i="1"/>
  <c r="W146" i="1"/>
  <c r="X146" i="1"/>
  <c r="Z146" i="1"/>
  <c r="AA146" i="1"/>
  <c r="AB146" i="1"/>
  <c r="AE146" i="1"/>
  <c r="G146" i="1" s="1"/>
  <c r="R146" i="1" s="1"/>
  <c r="AF146" i="1"/>
  <c r="AM146" i="1"/>
  <c r="AS146" i="1" s="1"/>
  <c r="AN146" i="1"/>
  <c r="AT146" i="1"/>
  <c r="AV146" i="1"/>
  <c r="G150" i="1"/>
  <c r="R150" i="1" s="1"/>
  <c r="I150" i="1"/>
  <c r="H150" i="1" s="1"/>
  <c r="S150" i="1" s="1"/>
  <c r="K150" i="1"/>
  <c r="P150" i="1"/>
  <c r="T150" i="1"/>
  <c r="U150" i="1"/>
  <c r="V150" i="1"/>
  <c r="W150" i="1"/>
  <c r="X150" i="1"/>
  <c r="Z150" i="1"/>
  <c r="AA150" i="1"/>
  <c r="AB150" i="1"/>
  <c r="AE150" i="1"/>
  <c r="AM150" i="1" s="1"/>
  <c r="AS150" i="1" s="1"/>
  <c r="AF150" i="1"/>
  <c r="AN150" i="1" s="1"/>
  <c r="AT150" i="1"/>
  <c r="AV150" i="1"/>
  <c r="I153" i="1"/>
  <c r="H153" i="1" s="1"/>
  <c r="S153" i="1" s="1"/>
  <c r="K153" i="1"/>
  <c r="P153" i="1"/>
  <c r="T153" i="1"/>
  <c r="U153" i="1"/>
  <c r="V153" i="1"/>
  <c r="W153" i="1"/>
  <c r="X153" i="1"/>
  <c r="Z153" i="1"/>
  <c r="AA153" i="1"/>
  <c r="AB153" i="1"/>
  <c r="AE153" i="1"/>
  <c r="G153" i="1" s="1"/>
  <c r="R153" i="1" s="1"/>
  <c r="AF153" i="1"/>
  <c r="AM153" i="1"/>
  <c r="AS153" i="1" s="1"/>
  <c r="AN153" i="1"/>
  <c r="AT153" i="1"/>
  <c r="AV153" i="1"/>
  <c r="AI156" i="1"/>
  <c r="I157" i="1"/>
  <c r="K157" i="1"/>
  <c r="K156" i="1" s="1"/>
  <c r="P157" i="1"/>
  <c r="R157" i="1"/>
  <c r="S157" i="1"/>
  <c r="V157" i="1"/>
  <c r="W157" i="1"/>
  <c r="X157" i="1"/>
  <c r="Z157" i="1"/>
  <c r="AA157" i="1"/>
  <c r="AJ156" i="1" s="1"/>
  <c r="AB157" i="1"/>
  <c r="AK156" i="1" s="1"/>
  <c r="AE157" i="1"/>
  <c r="G157" i="1" s="1"/>
  <c r="AF157" i="1"/>
  <c r="AM157" i="1"/>
  <c r="AS157" i="1" s="1"/>
  <c r="AN157" i="1"/>
  <c r="AT157" i="1"/>
  <c r="AV157" i="1"/>
  <c r="I159" i="1"/>
  <c r="K159" i="1"/>
  <c r="AV159" i="1" s="1"/>
  <c r="P159" i="1"/>
  <c r="R159" i="1"/>
  <c r="S159" i="1"/>
  <c r="V159" i="1"/>
  <c r="W159" i="1"/>
  <c r="X159" i="1"/>
  <c r="Z159" i="1"/>
  <c r="AA159" i="1"/>
  <c r="AB159" i="1"/>
  <c r="AE159" i="1"/>
  <c r="G159" i="1" s="1"/>
  <c r="T159" i="1" s="1"/>
  <c r="AF159" i="1"/>
  <c r="AN159" i="1" s="1"/>
  <c r="AT159" i="1"/>
  <c r="I161" i="1"/>
  <c r="K161" i="1"/>
  <c r="P161" i="1"/>
  <c r="R161" i="1"/>
  <c r="S161" i="1"/>
  <c r="V161" i="1"/>
  <c r="W161" i="1"/>
  <c r="X161" i="1"/>
  <c r="Z161" i="1"/>
  <c r="AA161" i="1"/>
  <c r="AB161" i="1"/>
  <c r="AE161" i="1"/>
  <c r="G161" i="1" s="1"/>
  <c r="AF161" i="1"/>
  <c r="AM161" i="1"/>
  <c r="AS161" i="1" s="1"/>
  <c r="AN161" i="1"/>
  <c r="AT161" i="1"/>
  <c r="AV161" i="1"/>
  <c r="K163" i="1"/>
  <c r="G164" i="1"/>
  <c r="I164" i="1"/>
  <c r="K164" i="1"/>
  <c r="P164" i="1"/>
  <c r="T164" i="1"/>
  <c r="U164" i="1"/>
  <c r="V164" i="1"/>
  <c r="W164" i="1"/>
  <c r="X164" i="1"/>
  <c r="Z164" i="1"/>
  <c r="AI163" i="1" s="1"/>
  <c r="AA164" i="1"/>
  <c r="AJ163" i="1" s="1"/>
  <c r="AB164" i="1"/>
  <c r="AK163" i="1" s="1"/>
  <c r="AE164" i="1"/>
  <c r="AF164" i="1"/>
  <c r="AN164" i="1" s="1"/>
  <c r="AM164" i="1"/>
  <c r="AT164" i="1"/>
  <c r="AV164" i="1"/>
  <c r="I167" i="1"/>
  <c r="H167" i="1" s="1"/>
  <c r="S167" i="1" s="1"/>
  <c r="K167" i="1"/>
  <c r="P167" i="1"/>
  <c r="T167" i="1"/>
  <c r="U167" i="1"/>
  <c r="V167" i="1"/>
  <c r="W167" i="1"/>
  <c r="X167" i="1"/>
  <c r="Z167" i="1"/>
  <c r="AA167" i="1"/>
  <c r="AB167" i="1"/>
  <c r="AE167" i="1"/>
  <c r="G167" i="1" s="1"/>
  <c r="R167" i="1" s="1"/>
  <c r="AF167" i="1"/>
  <c r="AN167" i="1"/>
  <c r="AT167" i="1"/>
  <c r="AV167" i="1"/>
  <c r="G170" i="1"/>
  <c r="H170" i="1" s="1"/>
  <c r="S170" i="1" s="1"/>
  <c r="I170" i="1"/>
  <c r="K170" i="1"/>
  <c r="P170" i="1"/>
  <c r="T170" i="1"/>
  <c r="U170" i="1"/>
  <c r="V170" i="1"/>
  <c r="W170" i="1"/>
  <c r="X170" i="1"/>
  <c r="Z170" i="1"/>
  <c r="AA170" i="1"/>
  <c r="AB170" i="1"/>
  <c r="AE170" i="1"/>
  <c r="AF170" i="1"/>
  <c r="AN170" i="1" s="1"/>
  <c r="AM170" i="1"/>
  <c r="AS170" i="1" s="1"/>
  <c r="AT170" i="1"/>
  <c r="AV170" i="1"/>
  <c r="I173" i="1"/>
  <c r="K173" i="1"/>
  <c r="P173" i="1"/>
  <c r="T173" i="1"/>
  <c r="U173" i="1"/>
  <c r="V173" i="1"/>
  <c r="W173" i="1"/>
  <c r="X173" i="1"/>
  <c r="Z173" i="1"/>
  <c r="AA173" i="1"/>
  <c r="AB173" i="1"/>
  <c r="AE173" i="1"/>
  <c r="G173" i="1" s="1"/>
  <c r="R173" i="1" s="1"/>
  <c r="AF173" i="1"/>
  <c r="AN173" i="1"/>
  <c r="AT173" i="1"/>
  <c r="AV173" i="1"/>
  <c r="I176" i="1"/>
  <c r="K176" i="1"/>
  <c r="K175" i="1" s="1"/>
  <c r="P176" i="1"/>
  <c r="T176" i="1"/>
  <c r="U176" i="1"/>
  <c r="V176" i="1"/>
  <c r="W176" i="1"/>
  <c r="X176" i="1"/>
  <c r="Z176" i="1"/>
  <c r="AA176" i="1"/>
  <c r="AJ175" i="1" s="1"/>
  <c r="AB176" i="1"/>
  <c r="AK175" i="1" s="1"/>
  <c r="AE176" i="1"/>
  <c r="G176" i="1" s="1"/>
  <c r="AF176" i="1"/>
  <c r="AM176" i="1"/>
  <c r="AS176" i="1" s="1"/>
  <c r="AN176" i="1"/>
  <c r="AT176" i="1"/>
  <c r="AV176" i="1"/>
  <c r="I179" i="1"/>
  <c r="H179" i="1" s="1"/>
  <c r="S179" i="1" s="1"/>
  <c r="K179" i="1"/>
  <c r="AV179" i="1" s="1"/>
  <c r="P179" i="1"/>
  <c r="T179" i="1"/>
  <c r="U179" i="1"/>
  <c r="V179" i="1"/>
  <c r="W179" i="1"/>
  <c r="X179" i="1"/>
  <c r="Z179" i="1"/>
  <c r="AA179" i="1"/>
  <c r="AB179" i="1"/>
  <c r="AE179" i="1"/>
  <c r="G179" i="1" s="1"/>
  <c r="R179" i="1" s="1"/>
  <c r="AF179" i="1"/>
  <c r="AN179" i="1" s="1"/>
  <c r="AT179" i="1"/>
  <c r="I182" i="1"/>
  <c r="K182" i="1"/>
  <c r="P182" i="1"/>
  <c r="T182" i="1"/>
  <c r="U182" i="1"/>
  <c r="V182" i="1"/>
  <c r="W182" i="1"/>
  <c r="X182" i="1"/>
  <c r="Z182" i="1"/>
  <c r="AA182" i="1"/>
  <c r="AB182" i="1"/>
  <c r="AE182" i="1"/>
  <c r="G182" i="1" s="1"/>
  <c r="AF182" i="1"/>
  <c r="AM182" i="1"/>
  <c r="AS182" i="1" s="1"/>
  <c r="AN182" i="1"/>
  <c r="AT182" i="1"/>
  <c r="AV182" i="1"/>
  <c r="I185" i="1"/>
  <c r="K185" i="1"/>
  <c r="AV185" i="1" s="1"/>
  <c r="P185" i="1"/>
  <c r="T185" i="1"/>
  <c r="U185" i="1"/>
  <c r="V185" i="1"/>
  <c r="W185" i="1"/>
  <c r="X185" i="1"/>
  <c r="Z185" i="1"/>
  <c r="AA185" i="1"/>
  <c r="AB185" i="1"/>
  <c r="AE185" i="1"/>
  <c r="G185" i="1" s="1"/>
  <c r="R185" i="1" s="1"/>
  <c r="AF185" i="1"/>
  <c r="AN185" i="1" s="1"/>
  <c r="AT185" i="1"/>
  <c r="I187" i="1"/>
  <c r="K187" i="1"/>
  <c r="P187" i="1"/>
  <c r="T187" i="1"/>
  <c r="U187" i="1"/>
  <c r="V187" i="1"/>
  <c r="W187" i="1"/>
  <c r="X187" i="1"/>
  <c r="Z187" i="1"/>
  <c r="AI175" i="1" s="1"/>
  <c r="AA187" i="1"/>
  <c r="AB187" i="1"/>
  <c r="AE187" i="1"/>
  <c r="G187" i="1" s="1"/>
  <c r="AF187" i="1"/>
  <c r="AM187" i="1"/>
  <c r="AS187" i="1" s="1"/>
  <c r="AN187" i="1"/>
  <c r="AT187" i="1"/>
  <c r="AV187" i="1"/>
  <c r="I189" i="1"/>
  <c r="H189" i="1" s="1"/>
  <c r="S189" i="1" s="1"/>
  <c r="K189" i="1"/>
  <c r="AV189" i="1" s="1"/>
  <c r="P189" i="1"/>
  <c r="T189" i="1"/>
  <c r="U189" i="1"/>
  <c r="V189" i="1"/>
  <c r="W189" i="1"/>
  <c r="X189" i="1"/>
  <c r="Z189" i="1"/>
  <c r="AA189" i="1"/>
  <c r="AB189" i="1"/>
  <c r="AE189" i="1"/>
  <c r="G189" i="1" s="1"/>
  <c r="R189" i="1" s="1"/>
  <c r="AF189" i="1"/>
  <c r="AN189" i="1" s="1"/>
  <c r="AT189" i="1"/>
  <c r="I191" i="1"/>
  <c r="K191" i="1"/>
  <c r="P191" i="1"/>
  <c r="T191" i="1"/>
  <c r="U191" i="1"/>
  <c r="V191" i="1"/>
  <c r="W191" i="1"/>
  <c r="X191" i="1"/>
  <c r="Z191" i="1"/>
  <c r="AA191" i="1"/>
  <c r="AB191" i="1"/>
  <c r="AE191" i="1"/>
  <c r="G191" i="1" s="1"/>
  <c r="AF191" i="1"/>
  <c r="AM191" i="1"/>
  <c r="AS191" i="1" s="1"/>
  <c r="AN191" i="1"/>
  <c r="AT191" i="1"/>
  <c r="AV191" i="1"/>
  <c r="G194" i="1"/>
  <c r="I194" i="1"/>
  <c r="K194" i="1"/>
  <c r="P194" i="1"/>
  <c r="T194" i="1"/>
  <c r="U194" i="1"/>
  <c r="V194" i="1"/>
  <c r="W194" i="1"/>
  <c r="X194" i="1"/>
  <c r="Z194" i="1"/>
  <c r="AA194" i="1"/>
  <c r="AB194" i="1"/>
  <c r="AE194" i="1"/>
  <c r="AF194" i="1"/>
  <c r="AN194" i="1" s="1"/>
  <c r="AM194" i="1"/>
  <c r="AT194" i="1"/>
  <c r="AV194" i="1"/>
  <c r="I197" i="1"/>
  <c r="H197" i="1" s="1"/>
  <c r="S197" i="1" s="1"/>
  <c r="K197" i="1"/>
  <c r="P197" i="1"/>
  <c r="T197" i="1"/>
  <c r="U197" i="1"/>
  <c r="V197" i="1"/>
  <c r="W197" i="1"/>
  <c r="X197" i="1"/>
  <c r="Z197" i="1"/>
  <c r="AA197" i="1"/>
  <c r="AB197" i="1"/>
  <c r="AE197" i="1"/>
  <c r="G197" i="1" s="1"/>
  <c r="R197" i="1" s="1"/>
  <c r="AF197" i="1"/>
  <c r="AN197" i="1"/>
  <c r="AT197" i="1"/>
  <c r="AV197" i="1"/>
  <c r="G199" i="1"/>
  <c r="H199" i="1" s="1"/>
  <c r="S199" i="1" s="1"/>
  <c r="I199" i="1"/>
  <c r="K199" i="1"/>
  <c r="P199" i="1"/>
  <c r="T199" i="1"/>
  <c r="U199" i="1"/>
  <c r="V199" i="1"/>
  <c r="W199" i="1"/>
  <c r="X199" i="1"/>
  <c r="Z199" i="1"/>
  <c r="AA199" i="1"/>
  <c r="AB199" i="1"/>
  <c r="AE199" i="1"/>
  <c r="AF199" i="1"/>
  <c r="AN199" i="1" s="1"/>
  <c r="AM199" i="1"/>
  <c r="AS199" i="1" s="1"/>
  <c r="AT199" i="1"/>
  <c r="AV199" i="1"/>
  <c r="I202" i="1"/>
  <c r="K202" i="1"/>
  <c r="P202" i="1"/>
  <c r="T202" i="1"/>
  <c r="U202" i="1"/>
  <c r="V202" i="1"/>
  <c r="W202" i="1"/>
  <c r="X202" i="1"/>
  <c r="Z202" i="1"/>
  <c r="AA202" i="1"/>
  <c r="AB202" i="1"/>
  <c r="AE202" i="1"/>
  <c r="G202" i="1" s="1"/>
  <c r="R202" i="1" s="1"/>
  <c r="AF202" i="1"/>
  <c r="AN202" i="1"/>
  <c r="AT202" i="1"/>
  <c r="AV202" i="1"/>
  <c r="G204" i="1"/>
  <c r="H204" i="1" s="1"/>
  <c r="S204" i="1" s="1"/>
  <c r="I204" i="1"/>
  <c r="K204" i="1"/>
  <c r="P204" i="1"/>
  <c r="T204" i="1"/>
  <c r="U204" i="1"/>
  <c r="V204" i="1"/>
  <c r="W204" i="1"/>
  <c r="X204" i="1"/>
  <c r="Z204" i="1"/>
  <c r="AA204" i="1"/>
  <c r="AB204" i="1"/>
  <c r="AE204" i="1"/>
  <c r="AF204" i="1"/>
  <c r="AN204" i="1" s="1"/>
  <c r="AM204" i="1"/>
  <c r="AT204" i="1"/>
  <c r="AV204" i="1"/>
  <c r="I207" i="1"/>
  <c r="H207" i="1" s="1"/>
  <c r="S207" i="1" s="1"/>
  <c r="K207" i="1"/>
  <c r="P207" i="1"/>
  <c r="T207" i="1"/>
  <c r="U207" i="1"/>
  <c r="V207" i="1"/>
  <c r="W207" i="1"/>
  <c r="X207" i="1"/>
  <c r="Z207" i="1"/>
  <c r="AA207" i="1"/>
  <c r="AB207" i="1"/>
  <c r="AE207" i="1"/>
  <c r="G207" i="1" s="1"/>
  <c r="R207" i="1" s="1"/>
  <c r="AF207" i="1"/>
  <c r="AN207" i="1"/>
  <c r="AT207" i="1"/>
  <c r="AV207" i="1"/>
  <c r="G209" i="1"/>
  <c r="R209" i="1" s="1"/>
  <c r="I209" i="1"/>
  <c r="H209" i="1" s="1"/>
  <c r="S209" i="1" s="1"/>
  <c r="K209" i="1"/>
  <c r="P209" i="1"/>
  <c r="T209" i="1"/>
  <c r="U209" i="1"/>
  <c r="V209" i="1"/>
  <c r="W209" i="1"/>
  <c r="X209" i="1"/>
  <c r="Z209" i="1"/>
  <c r="AA209" i="1"/>
  <c r="AB209" i="1"/>
  <c r="AE209" i="1"/>
  <c r="AF209" i="1"/>
  <c r="AN209" i="1" s="1"/>
  <c r="AM209" i="1"/>
  <c r="AS209" i="1" s="1"/>
  <c r="AT209" i="1"/>
  <c r="AV209" i="1"/>
  <c r="I212" i="1"/>
  <c r="K212" i="1"/>
  <c r="P212" i="1"/>
  <c r="T212" i="1"/>
  <c r="U212" i="1"/>
  <c r="V212" i="1"/>
  <c r="W212" i="1"/>
  <c r="X212" i="1"/>
  <c r="Z212" i="1"/>
  <c r="AA212" i="1"/>
  <c r="AB212" i="1"/>
  <c r="AE212" i="1"/>
  <c r="G212" i="1" s="1"/>
  <c r="R212" i="1" s="1"/>
  <c r="AF212" i="1"/>
  <c r="AN212" i="1"/>
  <c r="AT212" i="1"/>
  <c r="AV212" i="1"/>
  <c r="G214" i="1"/>
  <c r="I214" i="1"/>
  <c r="K214" i="1"/>
  <c r="P214" i="1"/>
  <c r="T214" i="1"/>
  <c r="U214" i="1"/>
  <c r="V214" i="1"/>
  <c r="W214" i="1"/>
  <c r="X214" i="1"/>
  <c r="Z214" i="1"/>
  <c r="AA214" i="1"/>
  <c r="AB214" i="1"/>
  <c r="AE214" i="1"/>
  <c r="AF214" i="1"/>
  <c r="AN214" i="1" s="1"/>
  <c r="AM214" i="1"/>
  <c r="AS214" i="1" s="1"/>
  <c r="AT214" i="1"/>
  <c r="AV214" i="1"/>
  <c r="I216" i="1"/>
  <c r="K216" i="1"/>
  <c r="P216" i="1"/>
  <c r="T216" i="1"/>
  <c r="U216" i="1"/>
  <c r="V216" i="1"/>
  <c r="W216" i="1"/>
  <c r="X216" i="1"/>
  <c r="Z216" i="1"/>
  <c r="AA216" i="1"/>
  <c r="AB216" i="1"/>
  <c r="AE216" i="1"/>
  <c r="G216" i="1" s="1"/>
  <c r="R216" i="1" s="1"/>
  <c r="AF216" i="1"/>
  <c r="AN216" i="1"/>
  <c r="AT216" i="1"/>
  <c r="AV216" i="1"/>
  <c r="G219" i="1"/>
  <c r="R219" i="1" s="1"/>
  <c r="I219" i="1"/>
  <c r="K219" i="1"/>
  <c r="P219" i="1"/>
  <c r="T219" i="1"/>
  <c r="U219" i="1"/>
  <c r="V219" i="1"/>
  <c r="W219" i="1"/>
  <c r="X219" i="1"/>
  <c r="Z219" i="1"/>
  <c r="AA219" i="1"/>
  <c r="AB219" i="1"/>
  <c r="AE219" i="1"/>
  <c r="AF219" i="1"/>
  <c r="AN219" i="1" s="1"/>
  <c r="AM219" i="1"/>
  <c r="AT219" i="1"/>
  <c r="AV219" i="1"/>
  <c r="I222" i="1"/>
  <c r="K222" i="1"/>
  <c r="P222" i="1"/>
  <c r="T222" i="1"/>
  <c r="U222" i="1"/>
  <c r="V222" i="1"/>
  <c r="W222" i="1"/>
  <c r="X222" i="1"/>
  <c r="Z222" i="1"/>
  <c r="AA222" i="1"/>
  <c r="AB222" i="1"/>
  <c r="AE222" i="1"/>
  <c r="G222" i="1" s="1"/>
  <c r="R222" i="1" s="1"/>
  <c r="AF222" i="1"/>
  <c r="AN222" i="1"/>
  <c r="AT222" i="1"/>
  <c r="AV222" i="1"/>
  <c r="G224" i="1"/>
  <c r="H224" i="1"/>
  <c r="S224" i="1" s="1"/>
  <c r="I224" i="1"/>
  <c r="K224" i="1"/>
  <c r="P224" i="1"/>
  <c r="R224" i="1"/>
  <c r="T224" i="1"/>
  <c r="U224" i="1"/>
  <c r="V224" i="1"/>
  <c r="W224" i="1"/>
  <c r="X224" i="1"/>
  <c r="Z224" i="1"/>
  <c r="AA224" i="1"/>
  <c r="AB224" i="1"/>
  <c r="AE224" i="1"/>
  <c r="AF224" i="1"/>
  <c r="AN224" i="1" s="1"/>
  <c r="AM224" i="1"/>
  <c r="AT224" i="1"/>
  <c r="AV224" i="1"/>
  <c r="I227" i="1"/>
  <c r="H227" i="1" s="1"/>
  <c r="S227" i="1" s="1"/>
  <c r="K227" i="1"/>
  <c r="AV227" i="1" s="1"/>
  <c r="P227" i="1"/>
  <c r="T227" i="1"/>
  <c r="U227" i="1"/>
  <c r="V227" i="1"/>
  <c r="W227" i="1"/>
  <c r="X227" i="1"/>
  <c r="Z227" i="1"/>
  <c r="AA227" i="1"/>
  <c r="AB227" i="1"/>
  <c r="AE227" i="1"/>
  <c r="G227" i="1" s="1"/>
  <c r="R227" i="1" s="1"/>
  <c r="AF227" i="1"/>
  <c r="AN227" i="1"/>
  <c r="AT227" i="1"/>
  <c r="G230" i="1"/>
  <c r="H230" i="1"/>
  <c r="S230" i="1" s="1"/>
  <c r="I230" i="1"/>
  <c r="K230" i="1"/>
  <c r="P230" i="1"/>
  <c r="R230" i="1"/>
  <c r="T230" i="1"/>
  <c r="U230" i="1"/>
  <c r="V230" i="1"/>
  <c r="W230" i="1"/>
  <c r="X230" i="1"/>
  <c r="Z230" i="1"/>
  <c r="AA230" i="1"/>
  <c r="AB230" i="1"/>
  <c r="AE230" i="1"/>
  <c r="AF230" i="1"/>
  <c r="AN230" i="1" s="1"/>
  <c r="AM230" i="1"/>
  <c r="AT230" i="1"/>
  <c r="AV230" i="1"/>
  <c r="I232" i="1"/>
  <c r="H232" i="1" s="1"/>
  <c r="S232" i="1" s="1"/>
  <c r="K232" i="1"/>
  <c r="AV232" i="1" s="1"/>
  <c r="P232" i="1"/>
  <c r="T232" i="1"/>
  <c r="U232" i="1"/>
  <c r="V232" i="1"/>
  <c r="W232" i="1"/>
  <c r="X232" i="1"/>
  <c r="Z232" i="1"/>
  <c r="AA232" i="1"/>
  <c r="AB232" i="1"/>
  <c r="AE232" i="1"/>
  <c r="G232" i="1" s="1"/>
  <c r="R232" i="1" s="1"/>
  <c r="AF232" i="1"/>
  <c r="AN232" i="1"/>
  <c r="AT232" i="1"/>
  <c r="G234" i="1"/>
  <c r="H234" i="1" s="1"/>
  <c r="S234" i="1" s="1"/>
  <c r="I234" i="1"/>
  <c r="K234" i="1"/>
  <c r="P234" i="1"/>
  <c r="R234" i="1"/>
  <c r="T234" i="1"/>
  <c r="U234" i="1"/>
  <c r="V234" i="1"/>
  <c r="W234" i="1"/>
  <c r="X234" i="1"/>
  <c r="Z234" i="1"/>
  <c r="AA234" i="1"/>
  <c r="AB234" i="1"/>
  <c r="AE234" i="1"/>
  <c r="AF234" i="1"/>
  <c r="AN234" i="1" s="1"/>
  <c r="AM234" i="1"/>
  <c r="AS234" i="1" s="1"/>
  <c r="AT234" i="1"/>
  <c r="AV234" i="1"/>
  <c r="I236" i="1"/>
  <c r="K236" i="1"/>
  <c r="AV236" i="1" s="1"/>
  <c r="P236" i="1"/>
  <c r="T236" i="1"/>
  <c r="U236" i="1"/>
  <c r="V236" i="1"/>
  <c r="W236" i="1"/>
  <c r="X236" i="1"/>
  <c r="Z236" i="1"/>
  <c r="AA236" i="1"/>
  <c r="AB236" i="1"/>
  <c r="AE236" i="1"/>
  <c r="G236" i="1" s="1"/>
  <c r="R236" i="1" s="1"/>
  <c r="AF236" i="1"/>
  <c r="AN236" i="1"/>
  <c r="AT236" i="1"/>
  <c r="G238" i="1"/>
  <c r="H238" i="1" s="1"/>
  <c r="S238" i="1" s="1"/>
  <c r="I238" i="1"/>
  <c r="K238" i="1"/>
  <c r="P238" i="1"/>
  <c r="T238" i="1"/>
  <c r="U238" i="1"/>
  <c r="V238" i="1"/>
  <c r="W238" i="1"/>
  <c r="X238" i="1"/>
  <c r="Z238" i="1"/>
  <c r="AA238" i="1"/>
  <c r="AB238" i="1"/>
  <c r="AE238" i="1"/>
  <c r="AF238" i="1"/>
  <c r="AN238" i="1" s="1"/>
  <c r="AM238" i="1"/>
  <c r="AS238" i="1" s="1"/>
  <c r="AT238" i="1"/>
  <c r="AV238" i="1"/>
  <c r="I240" i="1"/>
  <c r="K240" i="1"/>
  <c r="AV240" i="1" s="1"/>
  <c r="P240" i="1"/>
  <c r="T240" i="1"/>
  <c r="U240" i="1"/>
  <c r="V240" i="1"/>
  <c r="W240" i="1"/>
  <c r="X240" i="1"/>
  <c r="Z240" i="1"/>
  <c r="AA240" i="1"/>
  <c r="AB240" i="1"/>
  <c r="AE240" i="1"/>
  <c r="G240" i="1" s="1"/>
  <c r="R240" i="1" s="1"/>
  <c r="AF240" i="1"/>
  <c r="AN240" i="1"/>
  <c r="AT240" i="1"/>
  <c r="G243" i="1"/>
  <c r="H243" i="1" s="1"/>
  <c r="S243" i="1" s="1"/>
  <c r="I243" i="1"/>
  <c r="K243" i="1"/>
  <c r="P243" i="1"/>
  <c r="T243" i="1"/>
  <c r="U243" i="1"/>
  <c r="V243" i="1"/>
  <c r="W243" i="1"/>
  <c r="X243" i="1"/>
  <c r="Z243" i="1"/>
  <c r="AA243" i="1"/>
  <c r="AB243" i="1"/>
  <c r="AE243" i="1"/>
  <c r="AF243" i="1"/>
  <c r="AN243" i="1" s="1"/>
  <c r="AM243" i="1"/>
  <c r="AS243" i="1" s="1"/>
  <c r="AT243" i="1"/>
  <c r="AV243" i="1"/>
  <c r="I247" i="1"/>
  <c r="K247" i="1"/>
  <c r="K246" i="1" s="1"/>
  <c r="P247" i="1"/>
  <c r="T247" i="1"/>
  <c r="U247" i="1"/>
  <c r="V247" i="1"/>
  <c r="W247" i="1"/>
  <c r="X247" i="1"/>
  <c r="Z247" i="1"/>
  <c r="AI246" i="1" s="1"/>
  <c r="AA247" i="1"/>
  <c r="AJ246" i="1" s="1"/>
  <c r="AB247" i="1"/>
  <c r="AE247" i="1"/>
  <c r="G247" i="1" s="1"/>
  <c r="AF247" i="1"/>
  <c r="AN247" i="1" s="1"/>
  <c r="AT247" i="1"/>
  <c r="I250" i="1"/>
  <c r="K250" i="1"/>
  <c r="P250" i="1"/>
  <c r="T250" i="1"/>
  <c r="U250" i="1"/>
  <c r="V250" i="1"/>
  <c r="W250" i="1"/>
  <c r="X250" i="1"/>
  <c r="Z250" i="1"/>
  <c r="AA250" i="1"/>
  <c r="AB250" i="1"/>
  <c r="AK246" i="1" s="1"/>
  <c r="AE250" i="1"/>
  <c r="G250" i="1" s="1"/>
  <c r="AF250" i="1"/>
  <c r="AM250" i="1"/>
  <c r="AS250" i="1" s="1"/>
  <c r="AN250" i="1"/>
  <c r="AT250" i="1"/>
  <c r="AV250" i="1"/>
  <c r="I252" i="1"/>
  <c r="K252" i="1"/>
  <c r="AV252" i="1" s="1"/>
  <c r="P252" i="1"/>
  <c r="T252" i="1"/>
  <c r="U252" i="1"/>
  <c r="V252" i="1"/>
  <c r="W252" i="1"/>
  <c r="X252" i="1"/>
  <c r="Z252" i="1"/>
  <c r="AA252" i="1"/>
  <c r="AB252" i="1"/>
  <c r="AE252" i="1"/>
  <c r="G252" i="1" s="1"/>
  <c r="AF252" i="1"/>
  <c r="AN252" i="1" s="1"/>
  <c r="AT252" i="1"/>
  <c r="I254" i="1"/>
  <c r="K254" i="1"/>
  <c r="P254" i="1"/>
  <c r="T254" i="1"/>
  <c r="U254" i="1"/>
  <c r="V254" i="1"/>
  <c r="W254" i="1"/>
  <c r="X254" i="1"/>
  <c r="Z254" i="1"/>
  <c r="AA254" i="1"/>
  <c r="AB254" i="1"/>
  <c r="AE254" i="1"/>
  <c r="G254" i="1" s="1"/>
  <c r="AF254" i="1"/>
  <c r="AM254" i="1"/>
  <c r="AS254" i="1" s="1"/>
  <c r="AN254" i="1"/>
  <c r="AT254" i="1"/>
  <c r="AV254" i="1"/>
  <c r="I257" i="1"/>
  <c r="K257" i="1"/>
  <c r="AV257" i="1" s="1"/>
  <c r="P257" i="1"/>
  <c r="T257" i="1"/>
  <c r="U257" i="1"/>
  <c r="V257" i="1"/>
  <c r="W257" i="1"/>
  <c r="X257" i="1"/>
  <c r="Z257" i="1"/>
  <c r="AA257" i="1"/>
  <c r="AB257" i="1"/>
  <c r="AE257" i="1"/>
  <c r="G257" i="1" s="1"/>
  <c r="AF257" i="1"/>
  <c r="AN257" i="1" s="1"/>
  <c r="AT257" i="1"/>
  <c r="I260" i="1"/>
  <c r="K260" i="1"/>
  <c r="P260" i="1"/>
  <c r="T260" i="1"/>
  <c r="U260" i="1"/>
  <c r="V260" i="1"/>
  <c r="W260" i="1"/>
  <c r="X260" i="1"/>
  <c r="Z260" i="1"/>
  <c r="AA260" i="1"/>
  <c r="AB260" i="1"/>
  <c r="AE260" i="1"/>
  <c r="G260" i="1" s="1"/>
  <c r="AF260" i="1"/>
  <c r="AM260" i="1"/>
  <c r="AS260" i="1" s="1"/>
  <c r="AN260" i="1"/>
  <c r="AT260" i="1"/>
  <c r="AV260" i="1"/>
  <c r="I264" i="1"/>
  <c r="K264" i="1"/>
  <c r="AV264" i="1" s="1"/>
  <c r="P264" i="1"/>
  <c r="T264" i="1"/>
  <c r="U264" i="1"/>
  <c r="V264" i="1"/>
  <c r="W264" i="1"/>
  <c r="X264" i="1"/>
  <c r="Z264" i="1"/>
  <c r="AA264" i="1"/>
  <c r="AB264" i="1"/>
  <c r="AE264" i="1"/>
  <c r="G264" i="1" s="1"/>
  <c r="AF264" i="1"/>
  <c r="AN264" i="1" s="1"/>
  <c r="AT264" i="1"/>
  <c r="I267" i="1"/>
  <c r="K267" i="1"/>
  <c r="P267" i="1"/>
  <c r="T267" i="1"/>
  <c r="U267" i="1"/>
  <c r="V267" i="1"/>
  <c r="W267" i="1"/>
  <c r="X267" i="1"/>
  <c r="Z267" i="1"/>
  <c r="AA267" i="1"/>
  <c r="AB267" i="1"/>
  <c r="AE267" i="1"/>
  <c r="G267" i="1" s="1"/>
  <c r="AF267" i="1"/>
  <c r="AM267" i="1"/>
  <c r="AS267" i="1" s="1"/>
  <c r="AN267" i="1"/>
  <c r="AT267" i="1"/>
  <c r="AV267" i="1"/>
  <c r="I269" i="1"/>
  <c r="K269" i="1"/>
  <c r="AV269" i="1" s="1"/>
  <c r="P269" i="1"/>
  <c r="T269" i="1"/>
  <c r="U269" i="1"/>
  <c r="V269" i="1"/>
  <c r="W269" i="1"/>
  <c r="X269" i="1"/>
  <c r="Z269" i="1"/>
  <c r="AA269" i="1"/>
  <c r="AB269" i="1"/>
  <c r="AE269" i="1"/>
  <c r="G269" i="1" s="1"/>
  <c r="AF269" i="1"/>
  <c r="AN269" i="1" s="1"/>
  <c r="AT269" i="1"/>
  <c r="I273" i="1"/>
  <c r="K273" i="1"/>
  <c r="P273" i="1"/>
  <c r="T273" i="1"/>
  <c r="U273" i="1"/>
  <c r="V273" i="1"/>
  <c r="W273" i="1"/>
  <c r="X273" i="1"/>
  <c r="Z273" i="1"/>
  <c r="AA273" i="1"/>
  <c r="AB273" i="1"/>
  <c r="AE273" i="1"/>
  <c r="G273" i="1" s="1"/>
  <c r="AF273" i="1"/>
  <c r="AM273" i="1"/>
  <c r="AS273" i="1" s="1"/>
  <c r="AN273" i="1"/>
  <c r="AT273" i="1"/>
  <c r="AV273" i="1"/>
  <c r="I276" i="1"/>
  <c r="K276" i="1"/>
  <c r="AV276" i="1" s="1"/>
  <c r="P276" i="1"/>
  <c r="T276" i="1"/>
  <c r="U276" i="1"/>
  <c r="V276" i="1"/>
  <c r="W276" i="1"/>
  <c r="X276" i="1"/>
  <c r="Z276" i="1"/>
  <c r="AA276" i="1"/>
  <c r="AB276" i="1"/>
  <c r="AE276" i="1"/>
  <c r="G276" i="1" s="1"/>
  <c r="AF276" i="1"/>
  <c r="AN276" i="1" s="1"/>
  <c r="AT276" i="1"/>
  <c r="I279" i="1"/>
  <c r="K279" i="1"/>
  <c r="P279" i="1"/>
  <c r="T279" i="1"/>
  <c r="U279" i="1"/>
  <c r="V279" i="1"/>
  <c r="W279" i="1"/>
  <c r="X279" i="1"/>
  <c r="Z279" i="1"/>
  <c r="AA279" i="1"/>
  <c r="AB279" i="1"/>
  <c r="AE279" i="1"/>
  <c r="G279" i="1" s="1"/>
  <c r="AF279" i="1"/>
  <c r="AM279" i="1"/>
  <c r="AS279" i="1" s="1"/>
  <c r="AN279" i="1"/>
  <c r="AT279" i="1"/>
  <c r="AV279" i="1"/>
  <c r="I282" i="1"/>
  <c r="K282" i="1"/>
  <c r="AV282" i="1" s="1"/>
  <c r="P282" i="1"/>
  <c r="T282" i="1"/>
  <c r="U282" i="1"/>
  <c r="V282" i="1"/>
  <c r="W282" i="1"/>
  <c r="X282" i="1"/>
  <c r="Z282" i="1"/>
  <c r="AA282" i="1"/>
  <c r="AB282" i="1"/>
  <c r="AE282" i="1"/>
  <c r="G282" i="1" s="1"/>
  <c r="R282" i="1" s="1"/>
  <c r="AF282" i="1"/>
  <c r="AN282" i="1" s="1"/>
  <c r="AT282" i="1"/>
  <c r="I285" i="1"/>
  <c r="K285" i="1"/>
  <c r="P285" i="1"/>
  <c r="T285" i="1"/>
  <c r="U285" i="1"/>
  <c r="V285" i="1"/>
  <c r="W285" i="1"/>
  <c r="X285" i="1"/>
  <c r="Z285" i="1"/>
  <c r="AA285" i="1"/>
  <c r="AB285" i="1"/>
  <c r="AE285" i="1"/>
  <c r="G285" i="1" s="1"/>
  <c r="AF285" i="1"/>
  <c r="AM285" i="1"/>
  <c r="AS285" i="1" s="1"/>
  <c r="AN285" i="1"/>
  <c r="AT285" i="1"/>
  <c r="AV285" i="1"/>
  <c r="I288" i="1"/>
  <c r="H288" i="1" s="1"/>
  <c r="S288" i="1" s="1"/>
  <c r="K288" i="1"/>
  <c r="AV288" i="1" s="1"/>
  <c r="P288" i="1"/>
  <c r="T288" i="1"/>
  <c r="U288" i="1"/>
  <c r="V288" i="1"/>
  <c r="W288" i="1"/>
  <c r="X288" i="1"/>
  <c r="Z288" i="1"/>
  <c r="AA288" i="1"/>
  <c r="AB288" i="1"/>
  <c r="AE288" i="1"/>
  <c r="G288" i="1" s="1"/>
  <c r="R288" i="1" s="1"/>
  <c r="AF288" i="1"/>
  <c r="AN288" i="1" s="1"/>
  <c r="AT288" i="1"/>
  <c r="I291" i="1"/>
  <c r="K291" i="1"/>
  <c r="P291" i="1"/>
  <c r="T291" i="1"/>
  <c r="U291" i="1"/>
  <c r="V291" i="1"/>
  <c r="W291" i="1"/>
  <c r="X291" i="1"/>
  <c r="Z291" i="1"/>
  <c r="AA291" i="1"/>
  <c r="AB291" i="1"/>
  <c r="AE291" i="1"/>
  <c r="G291" i="1" s="1"/>
  <c r="AF291" i="1"/>
  <c r="AM291" i="1"/>
  <c r="AS291" i="1" s="1"/>
  <c r="AN291" i="1"/>
  <c r="AT291" i="1"/>
  <c r="AV291" i="1"/>
  <c r="I294" i="1"/>
  <c r="K294" i="1"/>
  <c r="AV294" i="1" s="1"/>
  <c r="P294" i="1"/>
  <c r="T294" i="1"/>
  <c r="U294" i="1"/>
  <c r="V294" i="1"/>
  <c r="W294" i="1"/>
  <c r="X294" i="1"/>
  <c r="Z294" i="1"/>
  <c r="AA294" i="1"/>
  <c r="AB294" i="1"/>
  <c r="AE294" i="1"/>
  <c r="G294" i="1" s="1"/>
  <c r="R294" i="1" s="1"/>
  <c r="AF294" i="1"/>
  <c r="AN294" i="1" s="1"/>
  <c r="AT294" i="1"/>
  <c r="I297" i="1"/>
  <c r="K297" i="1"/>
  <c r="P297" i="1"/>
  <c r="T297" i="1"/>
  <c r="U297" i="1"/>
  <c r="V297" i="1"/>
  <c r="W297" i="1"/>
  <c r="X297" i="1"/>
  <c r="Z297" i="1"/>
  <c r="AA297" i="1"/>
  <c r="AB297" i="1"/>
  <c r="AE297" i="1"/>
  <c r="G297" i="1" s="1"/>
  <c r="AF297" i="1"/>
  <c r="AM297" i="1"/>
  <c r="AS297" i="1" s="1"/>
  <c r="AN297" i="1"/>
  <c r="AT297" i="1"/>
  <c r="AV297" i="1"/>
  <c r="I300" i="1"/>
  <c r="H300" i="1" s="1"/>
  <c r="S300" i="1" s="1"/>
  <c r="K300" i="1"/>
  <c r="AV300" i="1" s="1"/>
  <c r="P300" i="1"/>
  <c r="T300" i="1"/>
  <c r="U300" i="1"/>
  <c r="V300" i="1"/>
  <c r="W300" i="1"/>
  <c r="X300" i="1"/>
  <c r="Z300" i="1"/>
  <c r="AA300" i="1"/>
  <c r="AB300" i="1"/>
  <c r="AE300" i="1"/>
  <c r="G300" i="1" s="1"/>
  <c r="R300" i="1" s="1"/>
  <c r="AF300" i="1"/>
  <c r="AN300" i="1" s="1"/>
  <c r="AT300" i="1"/>
  <c r="I303" i="1"/>
  <c r="H303" i="1" s="1"/>
  <c r="S303" i="1" s="1"/>
  <c r="K303" i="1"/>
  <c r="P303" i="1"/>
  <c r="T303" i="1"/>
  <c r="U303" i="1"/>
  <c r="V303" i="1"/>
  <c r="W303" i="1"/>
  <c r="X303" i="1"/>
  <c r="Z303" i="1"/>
  <c r="AA303" i="1"/>
  <c r="AB303" i="1"/>
  <c r="AE303" i="1"/>
  <c r="G303" i="1" s="1"/>
  <c r="R303" i="1" s="1"/>
  <c r="AF303" i="1"/>
  <c r="AM303" i="1"/>
  <c r="AS303" i="1" s="1"/>
  <c r="AN303" i="1"/>
  <c r="AT303" i="1"/>
  <c r="AV303" i="1"/>
  <c r="I306" i="1"/>
  <c r="K306" i="1"/>
  <c r="AV306" i="1" s="1"/>
  <c r="P306" i="1"/>
  <c r="T306" i="1"/>
  <c r="U306" i="1"/>
  <c r="V306" i="1"/>
  <c r="W306" i="1"/>
  <c r="X306" i="1"/>
  <c r="Z306" i="1"/>
  <c r="AA306" i="1"/>
  <c r="AB306" i="1"/>
  <c r="AE306" i="1"/>
  <c r="G306" i="1" s="1"/>
  <c r="R306" i="1" s="1"/>
  <c r="AF306" i="1"/>
  <c r="AN306" i="1" s="1"/>
  <c r="AT306" i="1"/>
  <c r="I310" i="1"/>
  <c r="K310" i="1"/>
  <c r="P310" i="1"/>
  <c r="T310" i="1"/>
  <c r="U310" i="1"/>
  <c r="V310" i="1"/>
  <c r="W310" i="1"/>
  <c r="X310" i="1"/>
  <c r="Z310" i="1"/>
  <c r="AA310" i="1"/>
  <c r="AB310" i="1"/>
  <c r="AE310" i="1"/>
  <c r="G310" i="1" s="1"/>
  <c r="R310" i="1" s="1"/>
  <c r="AF310" i="1"/>
  <c r="AM310" i="1"/>
  <c r="AS310" i="1" s="1"/>
  <c r="AN310" i="1"/>
  <c r="AT310" i="1"/>
  <c r="AV310" i="1"/>
  <c r="I316" i="1"/>
  <c r="H316" i="1" s="1"/>
  <c r="S316" i="1" s="1"/>
  <c r="K316" i="1"/>
  <c r="P316" i="1"/>
  <c r="T316" i="1"/>
  <c r="U316" i="1"/>
  <c r="V316" i="1"/>
  <c r="W316" i="1"/>
  <c r="X316" i="1"/>
  <c r="Z316" i="1"/>
  <c r="AA316" i="1"/>
  <c r="AB316" i="1"/>
  <c r="AE316" i="1"/>
  <c r="G316" i="1" s="1"/>
  <c r="R316" i="1" s="1"/>
  <c r="AF316" i="1"/>
  <c r="AN316" i="1" s="1"/>
  <c r="AT316" i="1"/>
  <c r="AV316" i="1"/>
  <c r="I318" i="1"/>
  <c r="K318" i="1"/>
  <c r="P318" i="1"/>
  <c r="T318" i="1"/>
  <c r="U318" i="1"/>
  <c r="V318" i="1"/>
  <c r="W318" i="1"/>
  <c r="X318" i="1"/>
  <c r="Z318" i="1"/>
  <c r="AA318" i="1"/>
  <c r="AB318" i="1"/>
  <c r="AE318" i="1"/>
  <c r="G318" i="1" s="1"/>
  <c r="R318" i="1" s="1"/>
  <c r="AF318" i="1"/>
  <c r="AM318" i="1"/>
  <c r="AS318" i="1" s="1"/>
  <c r="AN318" i="1"/>
  <c r="AT318" i="1"/>
  <c r="AV318" i="1"/>
  <c r="I320" i="1"/>
  <c r="H320" i="1" s="1"/>
  <c r="S320" i="1" s="1"/>
  <c r="K320" i="1"/>
  <c r="P320" i="1"/>
  <c r="T320" i="1"/>
  <c r="U320" i="1"/>
  <c r="V320" i="1"/>
  <c r="W320" i="1"/>
  <c r="X320" i="1"/>
  <c r="Z320" i="1"/>
  <c r="AA320" i="1"/>
  <c r="AB320" i="1"/>
  <c r="AE320" i="1"/>
  <c r="G320" i="1" s="1"/>
  <c r="R320" i="1" s="1"/>
  <c r="AF320" i="1"/>
  <c r="AN320" i="1" s="1"/>
  <c r="AT320" i="1"/>
  <c r="AV320" i="1"/>
  <c r="I323" i="1"/>
  <c r="K323" i="1"/>
  <c r="K322" i="1" s="1"/>
  <c r="P323" i="1"/>
  <c r="T323" i="1"/>
  <c r="U323" i="1"/>
  <c r="V323" i="1"/>
  <c r="W323" i="1"/>
  <c r="X323" i="1"/>
  <c r="Z323" i="1"/>
  <c r="AI322" i="1" s="1"/>
  <c r="AA323" i="1"/>
  <c r="AJ322" i="1" s="1"/>
  <c r="AB323" i="1"/>
  <c r="AK322" i="1" s="1"/>
  <c r="AE323" i="1"/>
  <c r="AF323" i="1"/>
  <c r="AN323" i="1"/>
  <c r="AT323" i="1"/>
  <c r="AV323" i="1"/>
  <c r="G326" i="1"/>
  <c r="R326" i="1" s="1"/>
  <c r="I326" i="1"/>
  <c r="H326" i="1" s="1"/>
  <c r="K326" i="1"/>
  <c r="P326" i="1"/>
  <c r="T326" i="1"/>
  <c r="U326" i="1"/>
  <c r="V326" i="1"/>
  <c r="W326" i="1"/>
  <c r="X326" i="1"/>
  <c r="Z326" i="1"/>
  <c r="AI325" i="1" s="1"/>
  <c r="AA326" i="1"/>
  <c r="AB326" i="1"/>
  <c r="AK325" i="1" s="1"/>
  <c r="AE326" i="1"/>
  <c r="AF326" i="1"/>
  <c r="AM326" i="1"/>
  <c r="AS326" i="1" s="1"/>
  <c r="AN326" i="1"/>
  <c r="AT326" i="1"/>
  <c r="AV326" i="1"/>
  <c r="G329" i="1"/>
  <c r="G325" i="1" s="1"/>
  <c r="I329" i="1"/>
  <c r="H329" i="1" s="1"/>
  <c r="S329" i="1" s="1"/>
  <c r="K329" i="1"/>
  <c r="AV329" i="1" s="1"/>
  <c r="P329" i="1"/>
  <c r="T329" i="1"/>
  <c r="U329" i="1"/>
  <c r="V329" i="1"/>
  <c r="W329" i="1"/>
  <c r="X329" i="1"/>
  <c r="Z329" i="1"/>
  <c r="AA329" i="1"/>
  <c r="AB329" i="1"/>
  <c r="AE329" i="1"/>
  <c r="AM329" i="1" s="1"/>
  <c r="AF329" i="1"/>
  <c r="AN329" i="1" s="1"/>
  <c r="AT329" i="1"/>
  <c r="G331" i="1"/>
  <c r="R331" i="1" s="1"/>
  <c r="I331" i="1"/>
  <c r="H331" i="1" s="1"/>
  <c r="S331" i="1" s="1"/>
  <c r="K331" i="1"/>
  <c r="P331" i="1"/>
  <c r="T331" i="1"/>
  <c r="U331" i="1"/>
  <c r="V331" i="1"/>
  <c r="W331" i="1"/>
  <c r="X331" i="1"/>
  <c r="Z331" i="1"/>
  <c r="AA331" i="1"/>
  <c r="AJ325" i="1" s="1"/>
  <c r="AB331" i="1"/>
  <c r="AE331" i="1"/>
  <c r="AF331" i="1"/>
  <c r="AM331" i="1"/>
  <c r="AS331" i="1" s="1"/>
  <c r="AN331" i="1"/>
  <c r="AT331" i="1"/>
  <c r="AV331" i="1"/>
  <c r="G333" i="1"/>
  <c r="R333" i="1" s="1"/>
  <c r="I333" i="1"/>
  <c r="H333" i="1" s="1"/>
  <c r="S333" i="1" s="1"/>
  <c r="K333" i="1"/>
  <c r="AV333" i="1" s="1"/>
  <c r="P333" i="1"/>
  <c r="T333" i="1"/>
  <c r="U333" i="1"/>
  <c r="V333" i="1"/>
  <c r="W333" i="1"/>
  <c r="X333" i="1"/>
  <c r="Z333" i="1"/>
  <c r="AA333" i="1"/>
  <c r="AB333" i="1"/>
  <c r="AE333" i="1"/>
  <c r="AM333" i="1" s="1"/>
  <c r="AS333" i="1" s="1"/>
  <c r="AF333" i="1"/>
  <c r="AN333" i="1" s="1"/>
  <c r="AT333" i="1"/>
  <c r="I336" i="1"/>
  <c r="P336" i="1" s="1"/>
  <c r="K336" i="1"/>
  <c r="K335" i="1" s="1"/>
  <c r="F28" i="2" s="1"/>
  <c r="R336" i="1"/>
  <c r="S336" i="1"/>
  <c r="T336" i="1"/>
  <c r="U336" i="1"/>
  <c r="V336" i="1"/>
  <c r="W336" i="1"/>
  <c r="X336" i="1"/>
  <c r="Z336" i="1"/>
  <c r="AA336" i="1"/>
  <c r="AJ335" i="1" s="1"/>
  <c r="AB336" i="1"/>
  <c r="AE336" i="1"/>
  <c r="G336" i="1" s="1"/>
  <c r="AF336" i="1"/>
  <c r="AN336" i="1"/>
  <c r="AT336" i="1"/>
  <c r="I338" i="1"/>
  <c r="K338" i="1"/>
  <c r="P338" i="1"/>
  <c r="R338" i="1"/>
  <c r="S338" i="1"/>
  <c r="T338" i="1"/>
  <c r="U338" i="1"/>
  <c r="V338" i="1"/>
  <c r="W338" i="1"/>
  <c r="X338" i="1"/>
  <c r="Z338" i="1"/>
  <c r="AA338" i="1"/>
  <c r="AB338" i="1"/>
  <c r="AE338" i="1"/>
  <c r="G338" i="1" s="1"/>
  <c r="H338" i="1" s="1"/>
  <c r="AF338" i="1"/>
  <c r="AN338" i="1" s="1"/>
  <c r="AM338" i="1"/>
  <c r="AT338" i="1"/>
  <c r="AV338" i="1"/>
  <c r="I340" i="1"/>
  <c r="P340" i="1" s="1"/>
  <c r="K340" i="1"/>
  <c r="R340" i="1"/>
  <c r="S340" i="1"/>
  <c r="T340" i="1"/>
  <c r="U340" i="1"/>
  <c r="V340" i="1"/>
  <c r="W340" i="1"/>
  <c r="X340" i="1"/>
  <c r="Z340" i="1"/>
  <c r="AI335" i="1" s="1"/>
  <c r="AA340" i="1"/>
  <c r="AB340" i="1"/>
  <c r="AE340" i="1"/>
  <c r="G340" i="1" s="1"/>
  <c r="H340" i="1" s="1"/>
  <c r="AF340" i="1"/>
  <c r="AN340" i="1"/>
  <c r="AT340" i="1"/>
  <c r="AV340" i="1"/>
  <c r="I341" i="1"/>
  <c r="K341" i="1"/>
  <c r="P341" i="1"/>
  <c r="R341" i="1"/>
  <c r="S341" i="1"/>
  <c r="T341" i="1"/>
  <c r="U341" i="1"/>
  <c r="V341" i="1"/>
  <c r="W341" i="1"/>
  <c r="X341" i="1"/>
  <c r="Z341" i="1"/>
  <c r="AA341" i="1"/>
  <c r="AB341" i="1"/>
  <c r="AK335" i="1" s="1"/>
  <c r="AE341" i="1"/>
  <c r="G341" i="1" s="1"/>
  <c r="H341" i="1" s="1"/>
  <c r="AF341" i="1"/>
  <c r="AN341" i="1" s="1"/>
  <c r="AM341" i="1"/>
  <c r="AT341" i="1"/>
  <c r="AV341" i="1"/>
  <c r="I343" i="1"/>
  <c r="K343" i="1"/>
  <c r="P343" i="1"/>
  <c r="R343" i="1"/>
  <c r="S343" i="1"/>
  <c r="T343" i="1"/>
  <c r="U343" i="1"/>
  <c r="V343" i="1"/>
  <c r="W343" i="1"/>
  <c r="X343" i="1"/>
  <c r="Z343" i="1"/>
  <c r="AA343" i="1"/>
  <c r="AB343" i="1"/>
  <c r="AE343" i="1"/>
  <c r="G343" i="1" s="1"/>
  <c r="H343" i="1" s="1"/>
  <c r="AF343" i="1"/>
  <c r="AN343" i="1" s="1"/>
  <c r="AT343" i="1"/>
  <c r="AV343" i="1"/>
  <c r="I344" i="1"/>
  <c r="K344" i="1"/>
  <c r="P344" i="1"/>
  <c r="R344" i="1"/>
  <c r="S344" i="1"/>
  <c r="T344" i="1"/>
  <c r="U344" i="1"/>
  <c r="V344" i="1"/>
  <c r="W344" i="1"/>
  <c r="X344" i="1"/>
  <c r="Z344" i="1"/>
  <c r="AA344" i="1"/>
  <c r="AB344" i="1"/>
  <c r="AE344" i="1"/>
  <c r="G344" i="1" s="1"/>
  <c r="H344" i="1" s="1"/>
  <c r="AF344" i="1"/>
  <c r="AM344" i="1"/>
  <c r="AS344" i="1" s="1"/>
  <c r="AN344" i="1"/>
  <c r="AT344" i="1"/>
  <c r="AV344" i="1"/>
  <c r="I345" i="1"/>
  <c r="K345" i="1"/>
  <c r="P345" i="1"/>
  <c r="R345" i="1"/>
  <c r="S345" i="1"/>
  <c r="T345" i="1"/>
  <c r="U345" i="1"/>
  <c r="V345" i="1"/>
  <c r="W345" i="1"/>
  <c r="X345" i="1"/>
  <c r="Z345" i="1"/>
  <c r="AA345" i="1"/>
  <c r="AB345" i="1"/>
  <c r="AE345" i="1"/>
  <c r="G345" i="1" s="1"/>
  <c r="H345" i="1" s="1"/>
  <c r="AF345" i="1"/>
  <c r="AN345" i="1" s="1"/>
  <c r="AT345" i="1"/>
  <c r="AV345" i="1"/>
  <c r="I347" i="1"/>
  <c r="P347" i="1" s="1"/>
  <c r="K347" i="1"/>
  <c r="R347" i="1"/>
  <c r="S347" i="1"/>
  <c r="T347" i="1"/>
  <c r="U347" i="1"/>
  <c r="V347" i="1"/>
  <c r="W347" i="1"/>
  <c r="X347" i="1"/>
  <c r="Z347" i="1"/>
  <c r="AA347" i="1"/>
  <c r="AB347" i="1"/>
  <c r="AE347" i="1"/>
  <c r="G347" i="1" s="1"/>
  <c r="H347" i="1" s="1"/>
  <c r="AF347" i="1"/>
  <c r="AM347" i="1"/>
  <c r="AS347" i="1" s="1"/>
  <c r="AN347" i="1"/>
  <c r="AT347" i="1"/>
  <c r="AV347" i="1"/>
  <c r="I349" i="1"/>
  <c r="K349" i="1"/>
  <c r="P349" i="1"/>
  <c r="R349" i="1"/>
  <c r="S349" i="1"/>
  <c r="T349" i="1"/>
  <c r="U349" i="1"/>
  <c r="V349" i="1"/>
  <c r="W349" i="1"/>
  <c r="X349" i="1"/>
  <c r="Z349" i="1"/>
  <c r="AA349" i="1"/>
  <c r="AB349" i="1"/>
  <c r="AE349" i="1"/>
  <c r="G349" i="1" s="1"/>
  <c r="H349" i="1" s="1"/>
  <c r="AF349" i="1"/>
  <c r="AN349" i="1" s="1"/>
  <c r="AT349" i="1"/>
  <c r="AV349" i="1"/>
  <c r="K351" i="1"/>
  <c r="I352" i="1"/>
  <c r="K352" i="1"/>
  <c r="F30" i="2" s="1"/>
  <c r="P352" i="1"/>
  <c r="R352" i="1"/>
  <c r="S352" i="1"/>
  <c r="T352" i="1"/>
  <c r="U352" i="1"/>
  <c r="V352" i="1"/>
  <c r="W352" i="1"/>
  <c r="Z352" i="1"/>
  <c r="AI351" i="1" s="1"/>
  <c r="AA352" i="1"/>
  <c r="AB352" i="1"/>
  <c r="AK351" i="1" s="1"/>
  <c r="AE352" i="1"/>
  <c r="AM352" i="1" s="1"/>
  <c r="AS352" i="1" s="1"/>
  <c r="AF352" i="1"/>
  <c r="AN352" i="1"/>
  <c r="AT352" i="1"/>
  <c r="AV352" i="1"/>
  <c r="G354" i="1"/>
  <c r="I354" i="1"/>
  <c r="H354" i="1" s="1"/>
  <c r="K354" i="1"/>
  <c r="P354" i="1"/>
  <c r="R354" i="1"/>
  <c r="S354" i="1"/>
  <c r="T354" i="1"/>
  <c r="U354" i="1"/>
  <c r="V354" i="1"/>
  <c r="W354" i="1"/>
  <c r="X354" i="1"/>
  <c r="Z354" i="1"/>
  <c r="AA354" i="1"/>
  <c r="AJ351" i="1" s="1"/>
  <c r="AB354" i="1"/>
  <c r="AE354" i="1"/>
  <c r="AF354" i="1"/>
  <c r="AN354" i="1" s="1"/>
  <c r="AM354" i="1"/>
  <c r="AT354" i="1"/>
  <c r="AV354" i="1"/>
  <c r="B2" i="2"/>
  <c r="E2" i="2"/>
  <c r="B4" i="2"/>
  <c r="E4" i="2"/>
  <c r="B6" i="2"/>
  <c r="E6" i="2"/>
  <c r="B8" i="2"/>
  <c r="E8" i="2"/>
  <c r="F11" i="2"/>
  <c r="F12" i="2"/>
  <c r="F13" i="2"/>
  <c r="F14" i="2"/>
  <c r="F15" i="2"/>
  <c r="F17" i="2"/>
  <c r="F19" i="2"/>
  <c r="F20" i="2"/>
  <c r="F21" i="2"/>
  <c r="F22" i="2"/>
  <c r="F23" i="2"/>
  <c r="F25" i="2"/>
  <c r="F26" i="2"/>
  <c r="F29" i="2"/>
  <c r="G335" i="1" l="1"/>
  <c r="H336" i="1"/>
  <c r="H335" i="1" s="1"/>
  <c r="D28" i="2" s="1"/>
  <c r="AS329" i="1"/>
  <c r="C27" i="2"/>
  <c r="AS354" i="1"/>
  <c r="AS338" i="1"/>
  <c r="S326" i="1"/>
  <c r="H325" i="1"/>
  <c r="D27" i="2" s="1"/>
  <c r="AS341" i="1"/>
  <c r="G352" i="1"/>
  <c r="AM349" i="1"/>
  <c r="AS349" i="1" s="1"/>
  <c r="AM345" i="1"/>
  <c r="AS345" i="1" s="1"/>
  <c r="AM343" i="1"/>
  <c r="AS343" i="1" s="1"/>
  <c r="AM340" i="1"/>
  <c r="AS340" i="1" s="1"/>
  <c r="AV336" i="1"/>
  <c r="AM336" i="1"/>
  <c r="AS336" i="1" s="1"/>
  <c r="K325" i="1"/>
  <c r="F27" i="2" s="1"/>
  <c r="G323" i="1"/>
  <c r="AM323" i="1"/>
  <c r="AS323" i="1" s="1"/>
  <c r="H285" i="1"/>
  <c r="S285" i="1" s="1"/>
  <c r="R285" i="1"/>
  <c r="H269" i="1"/>
  <c r="S269" i="1" s="1"/>
  <c r="R269" i="1"/>
  <c r="H260" i="1"/>
  <c r="S260" i="1" s="1"/>
  <c r="R260" i="1"/>
  <c r="G246" i="1"/>
  <c r="H247" i="1"/>
  <c r="R247" i="1"/>
  <c r="X352" i="1"/>
  <c r="R329" i="1"/>
  <c r="H306" i="1"/>
  <c r="S306" i="1" s="1"/>
  <c r="H291" i="1"/>
  <c r="S291" i="1" s="1"/>
  <c r="R291" i="1"/>
  <c r="H282" i="1"/>
  <c r="S282" i="1" s="1"/>
  <c r="H276" i="1"/>
  <c r="S276" i="1" s="1"/>
  <c r="R276" i="1"/>
  <c r="H267" i="1"/>
  <c r="S267" i="1" s="1"/>
  <c r="R267" i="1"/>
  <c r="H252" i="1"/>
  <c r="S252" i="1" s="1"/>
  <c r="R252" i="1"/>
  <c r="AS224" i="1"/>
  <c r="H297" i="1"/>
  <c r="S297" i="1" s="1"/>
  <c r="R297" i="1"/>
  <c r="H273" i="1"/>
  <c r="S273" i="1" s="1"/>
  <c r="R273" i="1"/>
  <c r="H257" i="1"/>
  <c r="S257" i="1" s="1"/>
  <c r="R257" i="1"/>
  <c r="H250" i="1"/>
  <c r="S250" i="1" s="1"/>
  <c r="R250" i="1"/>
  <c r="H323" i="1"/>
  <c r="H318" i="1"/>
  <c r="S318" i="1" s="1"/>
  <c r="H310" i="1"/>
  <c r="S310" i="1" s="1"/>
  <c r="H294" i="1"/>
  <c r="S294" i="1" s="1"/>
  <c r="H279" i="1"/>
  <c r="S279" i="1" s="1"/>
  <c r="R279" i="1"/>
  <c r="H264" i="1"/>
  <c r="S264" i="1" s="1"/>
  <c r="R264" i="1"/>
  <c r="H254" i="1"/>
  <c r="S254" i="1" s="1"/>
  <c r="R254" i="1"/>
  <c r="H240" i="1"/>
  <c r="S240" i="1" s="1"/>
  <c r="H236" i="1"/>
  <c r="S236" i="1" s="1"/>
  <c r="AS230" i="1"/>
  <c r="AK193" i="1"/>
  <c r="H187" i="1"/>
  <c r="S187" i="1" s="1"/>
  <c r="R187" i="1"/>
  <c r="AM240" i="1"/>
  <c r="AS240" i="1" s="1"/>
  <c r="AM236" i="1"/>
  <c r="AS236" i="1" s="1"/>
  <c r="AM232" i="1"/>
  <c r="AS232" i="1" s="1"/>
  <c r="AM227" i="1"/>
  <c r="AS227" i="1" s="1"/>
  <c r="AM222" i="1"/>
  <c r="AS222" i="1" s="1"/>
  <c r="H216" i="1"/>
  <c r="S216" i="1" s="1"/>
  <c r="H202" i="1"/>
  <c r="S202" i="1" s="1"/>
  <c r="AS194" i="1"/>
  <c r="AJ193" i="1"/>
  <c r="H191" i="1"/>
  <c r="S191" i="1" s="1"/>
  <c r="R191" i="1"/>
  <c r="H185" i="1"/>
  <c r="S185" i="1" s="1"/>
  <c r="H173" i="1"/>
  <c r="S173" i="1" s="1"/>
  <c r="AS164" i="1"/>
  <c r="T157" i="1"/>
  <c r="G156" i="1"/>
  <c r="H157" i="1"/>
  <c r="H133" i="1"/>
  <c r="S133" i="1" s="1"/>
  <c r="H127" i="1"/>
  <c r="S127" i="1" s="1"/>
  <c r="H118" i="1"/>
  <c r="S118" i="1" s="1"/>
  <c r="AM320" i="1"/>
  <c r="AS320" i="1" s="1"/>
  <c r="AM316" i="1"/>
  <c r="AS316" i="1" s="1"/>
  <c r="AM306" i="1"/>
  <c r="AS306" i="1" s="1"/>
  <c r="AM300" i="1"/>
  <c r="AS300" i="1" s="1"/>
  <c r="AM294" i="1"/>
  <c r="AS294" i="1" s="1"/>
  <c r="AM288" i="1"/>
  <c r="AS288" i="1" s="1"/>
  <c r="AM282" i="1"/>
  <c r="AS282" i="1" s="1"/>
  <c r="AM276" i="1"/>
  <c r="AS276" i="1" s="1"/>
  <c r="AM269" i="1"/>
  <c r="AS269" i="1" s="1"/>
  <c r="AM264" i="1"/>
  <c r="AS264" i="1" s="1"/>
  <c r="AM257" i="1"/>
  <c r="AS257" i="1" s="1"/>
  <c r="AM252" i="1"/>
  <c r="AS252" i="1" s="1"/>
  <c r="AV247" i="1"/>
  <c r="AM247" i="1"/>
  <c r="AS247" i="1" s="1"/>
  <c r="AS219" i="1"/>
  <c r="H214" i="1"/>
  <c r="S214" i="1" s="1"/>
  <c r="R214" i="1"/>
  <c r="AI193" i="1"/>
  <c r="G175" i="1"/>
  <c r="H176" i="1"/>
  <c r="R176" i="1"/>
  <c r="T161" i="1"/>
  <c r="H161" i="1"/>
  <c r="U161" i="1" s="1"/>
  <c r="R243" i="1"/>
  <c r="R238" i="1"/>
  <c r="H222" i="1"/>
  <c r="S222" i="1" s="1"/>
  <c r="H219" i="1"/>
  <c r="S219" i="1" s="1"/>
  <c r="H212" i="1"/>
  <c r="S212" i="1" s="1"/>
  <c r="K193" i="1"/>
  <c r="F24" i="2" s="1"/>
  <c r="AS204" i="1"/>
  <c r="G193" i="1"/>
  <c r="H182" i="1"/>
  <c r="S182" i="1" s="1"/>
  <c r="R182" i="1"/>
  <c r="G163" i="1"/>
  <c r="H159" i="1"/>
  <c r="U159" i="1" s="1"/>
  <c r="H146" i="1"/>
  <c r="S146" i="1" s="1"/>
  <c r="AS142" i="1"/>
  <c r="S115" i="1"/>
  <c r="H112" i="1"/>
  <c r="S112" i="1" s="1"/>
  <c r="C29" i="3"/>
  <c r="C19" i="3"/>
  <c r="C21" i="3"/>
  <c r="AM216" i="1"/>
  <c r="AS216" i="1" s="1"/>
  <c r="AM212" i="1"/>
  <c r="AS212" i="1" s="1"/>
  <c r="AM207" i="1"/>
  <c r="AS207" i="1" s="1"/>
  <c r="AM202" i="1"/>
  <c r="AS202" i="1" s="1"/>
  <c r="AM197" i="1"/>
  <c r="AS197" i="1" s="1"/>
  <c r="AM173" i="1"/>
  <c r="AS173" i="1" s="1"/>
  <c r="AM167" i="1"/>
  <c r="AS167" i="1" s="1"/>
  <c r="G114" i="1"/>
  <c r="G109" i="1"/>
  <c r="H110" i="1"/>
  <c r="R110" i="1"/>
  <c r="H97" i="1"/>
  <c r="S97" i="1" s="1"/>
  <c r="R97" i="1"/>
  <c r="H93" i="1"/>
  <c r="S93" i="1" s="1"/>
  <c r="R93" i="1"/>
  <c r="H89" i="1"/>
  <c r="S89" i="1" s="1"/>
  <c r="R89" i="1"/>
  <c r="H78" i="1"/>
  <c r="R78" i="1"/>
  <c r="G69" i="1"/>
  <c r="H70" i="1"/>
  <c r="R70" i="1"/>
  <c r="H67" i="1"/>
  <c r="S67" i="1" s="1"/>
  <c r="AS64" i="1"/>
  <c r="H62" i="1"/>
  <c r="S62" i="1" s="1"/>
  <c r="AS59" i="1"/>
  <c r="H55" i="1"/>
  <c r="S55" i="1" s="1"/>
  <c r="R55" i="1"/>
  <c r="H53" i="1"/>
  <c r="AS46" i="1"/>
  <c r="H16" i="1"/>
  <c r="S16" i="1" s="1"/>
  <c r="C18" i="3"/>
  <c r="AM189" i="1"/>
  <c r="AS189" i="1" s="1"/>
  <c r="AM185" i="1"/>
  <c r="AS185" i="1" s="1"/>
  <c r="AM179" i="1"/>
  <c r="AS179" i="1" s="1"/>
  <c r="AM159" i="1"/>
  <c r="AS159" i="1" s="1"/>
  <c r="AK114" i="1"/>
  <c r="AM112" i="1"/>
  <c r="AS112" i="1" s="1"/>
  <c r="AK109" i="1"/>
  <c r="G86" i="1"/>
  <c r="H87" i="1"/>
  <c r="R87" i="1"/>
  <c r="G52" i="1"/>
  <c r="R53" i="1"/>
  <c r="H44" i="1"/>
  <c r="S44" i="1" s="1"/>
  <c r="R44" i="1"/>
  <c r="AS33" i="1"/>
  <c r="H13" i="1"/>
  <c r="R204" i="1"/>
  <c r="R199" i="1"/>
  <c r="R194" i="1"/>
  <c r="H194" i="1"/>
  <c r="R170" i="1"/>
  <c r="R164" i="1"/>
  <c r="H164" i="1"/>
  <c r="AV115" i="1"/>
  <c r="AS110" i="1"/>
  <c r="AJ109" i="1"/>
  <c r="AS107" i="1"/>
  <c r="H103" i="1"/>
  <c r="S103" i="1" s="1"/>
  <c r="R103" i="1"/>
  <c r="AS78" i="1"/>
  <c r="AS70" i="1"/>
  <c r="AS55" i="1"/>
  <c r="H35" i="1"/>
  <c r="S35" i="1" s="1"/>
  <c r="H33" i="1"/>
  <c r="S33" i="1" s="1"/>
  <c r="H28" i="1"/>
  <c r="S28" i="1" s="1"/>
  <c r="H18" i="1"/>
  <c r="S18" i="1" s="1"/>
  <c r="G12" i="1"/>
  <c r="R13" i="1"/>
  <c r="C20" i="3"/>
  <c r="C16" i="3"/>
  <c r="G105" i="1"/>
  <c r="R105" i="1" s="1"/>
  <c r="G100" i="1"/>
  <c r="H100" i="1" s="1"/>
  <c r="K99" i="1"/>
  <c r="F18" i="2" s="1"/>
  <c r="AM97" i="1"/>
  <c r="AS97" i="1" s="1"/>
  <c r="AM93" i="1"/>
  <c r="AS93" i="1" s="1"/>
  <c r="AM89" i="1"/>
  <c r="AS89" i="1" s="1"/>
  <c r="G83" i="1"/>
  <c r="R83" i="1" s="1"/>
  <c r="G64" i="1"/>
  <c r="R64" i="1" s="1"/>
  <c r="G59" i="1"/>
  <c r="G46" i="1"/>
  <c r="R46" i="1" s="1"/>
  <c r="G40" i="1"/>
  <c r="H40" i="1" s="1"/>
  <c r="AM28" i="1"/>
  <c r="AS28" i="1" s="1"/>
  <c r="AM24" i="1"/>
  <c r="AS24" i="1" s="1"/>
  <c r="AV16" i="1"/>
  <c r="AM16" i="1"/>
  <c r="AS16" i="1" s="1"/>
  <c r="AK12" i="1"/>
  <c r="C28" i="3"/>
  <c r="F28" i="3" s="1"/>
  <c r="C27" i="3"/>
  <c r="K77" i="1"/>
  <c r="F16" i="2" s="1"/>
  <c r="AM74" i="1"/>
  <c r="AS74" i="1" s="1"/>
  <c r="H356" i="1"/>
  <c r="H355" i="1" s="1"/>
  <c r="I355" i="1" s="1"/>
  <c r="E27" i="2"/>
  <c r="H27" i="2" s="1"/>
  <c r="F29" i="3"/>
  <c r="S40" i="1" l="1"/>
  <c r="S100" i="1"/>
  <c r="G58" i="1"/>
  <c r="R59" i="1"/>
  <c r="C11" i="2"/>
  <c r="C15" i="2"/>
  <c r="H109" i="1"/>
  <c r="D19" i="2" s="1"/>
  <c r="S110" i="1"/>
  <c r="I28" i="3"/>
  <c r="H83" i="1"/>
  <c r="S83" i="1" s="1"/>
  <c r="H156" i="1"/>
  <c r="D21" i="2" s="1"/>
  <c r="U157" i="1"/>
  <c r="C17" i="3" s="1"/>
  <c r="H322" i="1"/>
  <c r="D26" i="2" s="1"/>
  <c r="S323" i="1"/>
  <c r="C25" i="2"/>
  <c r="G322" i="1"/>
  <c r="R323" i="1"/>
  <c r="C30" i="2"/>
  <c r="G351" i="1"/>
  <c r="I29" i="3"/>
  <c r="H193" i="1"/>
  <c r="D24" i="2" s="1"/>
  <c r="S194" i="1"/>
  <c r="H12" i="1"/>
  <c r="D11" i="2" s="1"/>
  <c r="S13" i="1"/>
  <c r="H86" i="1"/>
  <c r="D17" i="2" s="1"/>
  <c r="E17" i="2" s="1"/>
  <c r="H17" i="2" s="1"/>
  <c r="S87" i="1"/>
  <c r="I109" i="1"/>
  <c r="C19" i="2"/>
  <c r="H46" i="1"/>
  <c r="S46" i="1" s="1"/>
  <c r="H175" i="1"/>
  <c r="D23" i="2" s="1"/>
  <c r="E23" i="2" s="1"/>
  <c r="H23" i="2" s="1"/>
  <c r="S176" i="1"/>
  <c r="I156" i="1"/>
  <c r="C21" i="2"/>
  <c r="G39" i="1"/>
  <c r="R40" i="1"/>
  <c r="H163" i="1"/>
  <c r="D22" i="2" s="1"/>
  <c r="S164" i="1"/>
  <c r="I86" i="1"/>
  <c r="C17" i="2"/>
  <c r="H77" i="1"/>
  <c r="D16" i="2" s="1"/>
  <c r="S78" i="1"/>
  <c r="I114" i="1"/>
  <c r="C20" i="2"/>
  <c r="H59" i="1"/>
  <c r="H114" i="1"/>
  <c r="D20" i="2" s="1"/>
  <c r="I193" i="1"/>
  <c r="C24" i="2"/>
  <c r="E24" i="2" s="1"/>
  <c r="H24" i="2" s="1"/>
  <c r="C23" i="2"/>
  <c r="I335" i="1"/>
  <c r="C28" i="2"/>
  <c r="E28" i="2" s="1"/>
  <c r="H28" i="2" s="1"/>
  <c r="G99" i="1"/>
  <c r="R100" i="1"/>
  <c r="C14" i="3"/>
  <c r="C13" i="2"/>
  <c r="H105" i="1"/>
  <c r="S105" i="1" s="1"/>
  <c r="H52" i="1"/>
  <c r="D13" i="2" s="1"/>
  <c r="E13" i="2" s="1"/>
  <c r="H13" i="2" s="1"/>
  <c r="S53" i="1"/>
  <c r="H69" i="1"/>
  <c r="D15" i="2" s="1"/>
  <c r="E15" i="2" s="1"/>
  <c r="H15" i="2" s="1"/>
  <c r="S70" i="1"/>
  <c r="G77" i="1"/>
  <c r="H64" i="1"/>
  <c r="S64" i="1" s="1"/>
  <c r="I163" i="1"/>
  <c r="C22" i="2"/>
  <c r="E22" i="2" s="1"/>
  <c r="H22" i="2" s="1"/>
  <c r="H246" i="1"/>
  <c r="D25" i="2" s="1"/>
  <c r="E25" i="2" s="1"/>
  <c r="H25" i="2" s="1"/>
  <c r="S247" i="1"/>
  <c r="I325" i="1"/>
  <c r="H352" i="1"/>
  <c r="C29" i="2" l="1"/>
  <c r="D30" i="2"/>
  <c r="E30" i="2" s="1"/>
  <c r="H351" i="1"/>
  <c r="D29" i="2" s="1"/>
  <c r="E29" i="2" s="1"/>
  <c r="H29" i="2" s="1"/>
  <c r="I246" i="1"/>
  <c r="E21" i="2"/>
  <c r="H21" i="2" s="1"/>
  <c r="E19" i="2"/>
  <c r="H19" i="2" s="1"/>
  <c r="I12" i="1"/>
  <c r="H99" i="1"/>
  <c r="D18" i="2" s="1"/>
  <c r="I77" i="1"/>
  <c r="C16" i="2"/>
  <c r="E16" i="2" s="1"/>
  <c r="H16" i="2" s="1"/>
  <c r="C18" i="2"/>
  <c r="E18" i="2" s="1"/>
  <c r="H18" i="2" s="1"/>
  <c r="I175" i="1"/>
  <c r="H58" i="1"/>
  <c r="D14" i="2" s="1"/>
  <c r="S59" i="1"/>
  <c r="C15" i="3"/>
  <c r="C22" i="3" s="1"/>
  <c r="I39" i="1"/>
  <c r="C12" i="2"/>
  <c r="I52" i="1"/>
  <c r="E20" i="2"/>
  <c r="H20" i="2" s="1"/>
  <c r="E11" i="2"/>
  <c r="H11" i="2" s="1"/>
  <c r="I322" i="1"/>
  <c r="C26" i="2"/>
  <c r="E26" i="2" s="1"/>
  <c r="H26" i="2" s="1"/>
  <c r="I69" i="1"/>
  <c r="I58" i="1"/>
  <c r="C14" i="2"/>
  <c r="H39" i="1"/>
  <c r="D12" i="2" s="1"/>
  <c r="E14" i="2" l="1"/>
  <c r="H14" i="2" s="1"/>
  <c r="E12" i="2"/>
  <c r="H12" i="2" s="1"/>
  <c r="E31" i="2" s="1"/>
  <c r="I99" i="1"/>
  <c r="I357" i="1" s="1"/>
  <c r="I351" i="1"/>
</calcChain>
</file>

<file path=xl/sharedStrings.xml><?xml version="1.0" encoding="utf-8"?>
<sst xmlns="http://schemas.openxmlformats.org/spreadsheetml/2006/main" count="1661" uniqueCount="640">
  <si>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</si>
  <si>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</si>
  <si>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</si>
  <si>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</si>
  <si>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</si>
  <si>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</si>
  <si>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</si>
  <si>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</si>
  <si>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</si>
  <si>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</si>
  <si>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</si>
  <si>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</si>
  <si>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</si>
  <si>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</si>
  <si>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</si>
  <si>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</si>
  <si>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</si>
  <si>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</si>
  <si>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</si>
  <si>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</si>
  <si>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</si>
  <si>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</si>
  <si>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</si>
  <si>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</si>
  <si>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</si>
  <si>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</si>
  <si>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</si>
  <si>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</si>
  <si>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</si>
  <si>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</si>
  <si>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</si>
  <si>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</si>
  <si>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</si>
  <si>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</si>
  <si>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</si>
  <si>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</si>
  <si>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</si>
  <si>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</si>
  <si>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</si>
  <si>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</si>
  <si>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</si>
  <si>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</si>
  <si>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</si>
  <si>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</si>
  <si>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</si>
  <si>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</si>
  <si>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</si>
  <si>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</si>
  <si>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</si>
  <si>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</si>
  <si>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</si>
  <si>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</si>
  <si>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</si>
  <si>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</si>
  <si>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</si>
  <si>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</si>
  <si>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</si>
  <si>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</si>
  <si>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</si>
  <si>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</si>
  <si>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</si>
  <si>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</si>
  <si>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</si>
  <si>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</si>
  <si>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</si>
  <si>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</si>
  <si>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</si>
  <si>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</si>
  <si>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</si>
  <si>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</si>
  <si>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</si>
  <si>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</si>
  <si>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</si>
  <si>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</si>
  <si>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</si>
  <si>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</si>
  <si>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</si>
  <si>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</si>
  <si>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</si>
  <si>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</si>
  <si>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</si>
  <si>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</si>
  <si>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</si>
  <si>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</si>
  <si>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</si>
  <si>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</si>
  <si>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</si>
  <si>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</si>
  <si>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</si>
  <si>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</si>
  <si>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</si>
  <si>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</si>
  <si>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</si>
  <si>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</si>
  <si>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</si>
  <si>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</si>
  <si>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</si>
  <si>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</si>
  <si>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</si>
  <si>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</si>
  <si>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</si>
  <si>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</si>
  <si>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</si>
  <si>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</si>
  <si>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</si>
  <si>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</si>
  <si>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</si>
  <si>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</si>
  <si>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</si>
  <si>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</si>
  <si>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</si>
  <si>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</si>
  <si>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</si>
  <si>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</si>
  <si>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</si>
  <si>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</si>
  <si>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</si>
  <si>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</si>
  <si>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</si>
  <si>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</si>
  <si>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</si>
  <si>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</si>
  <si>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</si>
  <si>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</si>
  <si>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</si>
  <si>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</si>
  <si>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</si>
  <si>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</si>
  <si>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</si>
  <si>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</si>
  <si>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Poznámka:</t>
  </si>
  <si>
    <t>Kód</t>
  </si>
  <si>
    <t>111201101R00</t>
  </si>
  <si>
    <t>RTS komentář:</t>
  </si>
  <si>
    <t>113107515R00</t>
  </si>
  <si>
    <t>113108405R00</t>
  </si>
  <si>
    <t>113108310R00</t>
  </si>
  <si>
    <t>113109307R00</t>
  </si>
  <si>
    <t>113109325R00</t>
  </si>
  <si>
    <t>113107625R00</t>
  </si>
  <si>
    <t>113203111R00</t>
  </si>
  <si>
    <t>113202111R00</t>
  </si>
  <si>
    <t>113201111R00</t>
  </si>
  <si>
    <t>120901123RT3</t>
  </si>
  <si>
    <t>122201102R00</t>
  </si>
  <si>
    <t>121101101R00</t>
  </si>
  <si>
    <t>131201201R00</t>
  </si>
  <si>
    <t>132201210R00</t>
  </si>
  <si>
    <t>162301501R00</t>
  </si>
  <si>
    <t>980-001 VD</t>
  </si>
  <si>
    <t>162701103R00</t>
  </si>
  <si>
    <t>162702199R00</t>
  </si>
  <si>
    <t>174101101R00</t>
  </si>
  <si>
    <t>174201103R00</t>
  </si>
  <si>
    <t>181101102R00</t>
  </si>
  <si>
    <t>181301106R00</t>
  </si>
  <si>
    <t>565171111R00</t>
  </si>
  <si>
    <t>567122114R00</t>
  </si>
  <si>
    <t>567142115R00</t>
  </si>
  <si>
    <t>564851111R00</t>
  </si>
  <si>
    <t>564871111R00</t>
  </si>
  <si>
    <t>564831111R00</t>
  </si>
  <si>
    <t>577141112R00</t>
  </si>
  <si>
    <t>577141122R00</t>
  </si>
  <si>
    <t>573231110R00</t>
  </si>
  <si>
    <t>573231111R00</t>
  </si>
  <si>
    <t>581132111R00</t>
  </si>
  <si>
    <t>581-001 VD</t>
  </si>
  <si>
    <t>596215021R00</t>
  </si>
  <si>
    <t>592452630</t>
  </si>
  <si>
    <t>59245267</t>
  </si>
  <si>
    <t>59245268</t>
  </si>
  <si>
    <t>596291111R00</t>
  </si>
  <si>
    <t>596215028R00</t>
  </si>
  <si>
    <t>596215029R00</t>
  </si>
  <si>
    <t>596215040R00</t>
  </si>
  <si>
    <t>59245264</t>
  </si>
  <si>
    <t>592452620</t>
  </si>
  <si>
    <t>596215048R00</t>
  </si>
  <si>
    <t>596215049R00</t>
  </si>
  <si>
    <t>721</t>
  </si>
  <si>
    <t>721140806R00</t>
  </si>
  <si>
    <t>721252807R00</t>
  </si>
  <si>
    <t>721-001 VD</t>
  </si>
  <si>
    <t>831312121R00</t>
  </si>
  <si>
    <t>597109451</t>
  </si>
  <si>
    <t>59710632</t>
  </si>
  <si>
    <t>831-001 VD</t>
  </si>
  <si>
    <t>851601104R00</t>
  </si>
  <si>
    <t>552-001 VD</t>
  </si>
  <si>
    <t>857601104R00</t>
  </si>
  <si>
    <t>422-001 VD</t>
  </si>
  <si>
    <t>552-002 VD</t>
  </si>
  <si>
    <t>552-003 VD</t>
  </si>
  <si>
    <t>552-004 VD</t>
  </si>
  <si>
    <t>891247111R00</t>
  </si>
  <si>
    <t>422-002 VD</t>
  </si>
  <si>
    <t>899401113R00</t>
  </si>
  <si>
    <t>42291452</t>
  </si>
  <si>
    <t>891311111R00</t>
  </si>
  <si>
    <t>422-003 VD</t>
  </si>
  <si>
    <t>899401112R00</t>
  </si>
  <si>
    <t>422-004 VD</t>
  </si>
  <si>
    <t>899711122R00</t>
  </si>
  <si>
    <t>899713111R00</t>
  </si>
  <si>
    <t>404459501</t>
  </si>
  <si>
    <t>899731113R00</t>
  </si>
  <si>
    <t>892351111R00</t>
  </si>
  <si>
    <t>895941311R00</t>
  </si>
  <si>
    <t>592238740</t>
  </si>
  <si>
    <t>592238741</t>
  </si>
  <si>
    <t>592238742</t>
  </si>
  <si>
    <t>592238743</t>
  </si>
  <si>
    <t>592238751</t>
  </si>
  <si>
    <t>899202111R00</t>
  </si>
  <si>
    <t>28661105</t>
  </si>
  <si>
    <t>919735111R00</t>
  </si>
  <si>
    <t>919722111R00</t>
  </si>
  <si>
    <t>919722212R00</t>
  </si>
  <si>
    <t>917862111R00</t>
  </si>
  <si>
    <t>59217476</t>
  </si>
  <si>
    <t>59217421</t>
  </si>
  <si>
    <t>59217472</t>
  </si>
  <si>
    <t>917882111R00</t>
  </si>
  <si>
    <t>59217128</t>
  </si>
  <si>
    <t>59217130</t>
  </si>
  <si>
    <t>59217129</t>
  </si>
  <si>
    <t>914001127R00</t>
  </si>
  <si>
    <t>40445032.A</t>
  </si>
  <si>
    <t>40445050.A</t>
  </si>
  <si>
    <t>40445135.A</t>
  </si>
  <si>
    <t>914001111R00</t>
  </si>
  <si>
    <t>40450215</t>
  </si>
  <si>
    <t>40450230</t>
  </si>
  <si>
    <t>914001125R00</t>
  </si>
  <si>
    <t>915712121R00</t>
  </si>
  <si>
    <t>915711121R00</t>
  </si>
  <si>
    <t>915721121R00</t>
  </si>
  <si>
    <t>915791111R00</t>
  </si>
  <si>
    <t>915791112R00</t>
  </si>
  <si>
    <t>915-001 VD</t>
  </si>
  <si>
    <t>936452112R00</t>
  </si>
  <si>
    <t>969-001 VD</t>
  </si>
  <si>
    <t>966006211R00</t>
  </si>
  <si>
    <t>966-001 VD</t>
  </si>
  <si>
    <t>966006132R00</t>
  </si>
  <si>
    <t>S</t>
  </si>
  <si>
    <t>979083117R00</t>
  </si>
  <si>
    <t>979083191R00</t>
  </si>
  <si>
    <t>979084216R00</t>
  </si>
  <si>
    <t>979990112R00</t>
  </si>
  <si>
    <t>979999997R00</t>
  </si>
  <si>
    <t>979990108R00</t>
  </si>
  <si>
    <t>979990104R00</t>
  </si>
  <si>
    <t>979990103R00</t>
  </si>
  <si>
    <t>979084219R00</t>
  </si>
  <si>
    <t>4059099900001</t>
  </si>
  <si>
    <t>998224111R00</t>
  </si>
  <si>
    <t>ZASTÁVKA JIHLAVSKÁ - KREMATORIUM, 2. ETAPA</t>
  </si>
  <si>
    <t>Brno - střed</t>
  </si>
  <si>
    <t>Zkrácený popis / Varianta</t>
  </si>
  <si>
    <t>Rozměry</t>
  </si>
  <si>
    <t>Přípravné a přidružené práce</t>
  </si>
  <si>
    <t>Odstranění křovin i s kořeny na ploše do 1000 m2</t>
  </si>
  <si>
    <t>Položka neobsahuje odstranění vytěženého porostu. Tyto práce se ocení samostatně buď jako spálení křovin nebo jako vodorovné přemístění na příslušnou vzdálenost. Položka je určena i pro odstranění stromů o průměru kmene do 10 cm. Součástí položky je i příp. nutné odklizení křovin a stromů na hromady do 50 m nebo s naložením na dopravní prostředek.</t>
  </si>
  <si>
    <t>Odstranění podkladu pl. 50 m2,kam.drcené tl.15 cm</t>
  </si>
  <si>
    <t>Odstranění asfaltové vrstvy pl.nad 50 m2, tl. 5 cm</t>
  </si>
  <si>
    <t>103*0,5+103*0,3   pro napojení</t>
  </si>
  <si>
    <t>12*2   kolem vpustí</t>
  </si>
  <si>
    <t>24*2   ostrůvek</t>
  </si>
  <si>
    <t>200   chodník</t>
  </si>
  <si>
    <t>Položka není určena pro odstranění podkladu nebo krytu frézováním. Pro volbu položky z hlediska množství se uvažuje každá souvisle odstraňovaná plocha krytu nebo podkladu stejného druhu samostatně.Odstraňuje-li se několik vrstev vozovky najednou, jednotlivé vrstvy se oceňují každá samostatně.</t>
  </si>
  <si>
    <t>Odstranění asfaltové vrstvy pl. do 50 m2, tl.10 cm</t>
  </si>
  <si>
    <t>103*0,2+12+24</t>
  </si>
  <si>
    <t>Odstranění podkladu pl. 50 m2, bet.prostý tl.7 cm</t>
  </si>
  <si>
    <t>24   ostrůvek</t>
  </si>
  <si>
    <t>Odstranění podkladu pl.50 m2, bet.prostý tl.25 cm</t>
  </si>
  <si>
    <t>Odstranění podkladu nad 50 m2,kam.drcené tl.25 cm</t>
  </si>
  <si>
    <t>200   podklad chodníku</t>
  </si>
  <si>
    <t>Položka je určena i pro odstranění podkladů nebo krytů ze zemin stabilizovaných vápnem. Pro volbu položky z hlediska množství se uvažuje každá souvisle odstraňovaná plocha krytu nebo podkladu stejného druhu samostatně.Odstraňuje-li se několik vrstev vozovky najednou, jednotlivé vrstvy se oceňují každá samostatně.</t>
  </si>
  <si>
    <t>Vytrhání obrub z dlažebních kostek</t>
  </si>
  <si>
    <t>Vytrhání obrub obrubníků silničních</t>
  </si>
  <si>
    <t>Vytrhání obrubníků chodníkových a parkových</t>
  </si>
  <si>
    <t>139</t>
  </si>
  <si>
    <t>Odkopávky a prokopávky</t>
  </si>
  <si>
    <t>Bourání konstrukcí ze železobetonu v odkopávkách</t>
  </si>
  <si>
    <t>bagrem s kladivem</t>
  </si>
  <si>
    <t>8,5   vodovodní šachta</t>
  </si>
  <si>
    <t>Položka neobsahuje svislou ani vodorovnou přepravu vybouraného materiálu, ani uložení a poplatek za skládku. Položka jsou určeny pouze pro bourání konstrukcí ze zdiva nebo z betonu ve výkopišti při provádění zemních prací oři obklopení horninou nebo sypaninou tak, že k nim není bez vykopávky přístup. Objem vybouraného materiálu pro přemístění se rovná objemu konstrukcí před rozbouráním.</t>
  </si>
  <si>
    <t>Odkopávky nezapažené v hor. 3 do 1000 m3</t>
  </si>
  <si>
    <t>210</t>
  </si>
  <si>
    <t>Sejmutí ornice s přemístěním do 50 m</t>
  </si>
  <si>
    <t>185*0,2</t>
  </si>
  <si>
    <t>V položce je obsaženo i uložení na dočasnou skládku v příslušné vzdálenosti, pokud na 1 m2 skládky nepřipadá více jak 2 m3 ornice. V opačném případě se uložení musí dokalkulovat. STANDARDY KONSTRUKCÍ Obsah standardu je popsán následujícími technickými a kvalitativními parametry.  Odstranění travin, rákosu ruderálního porostu, stařiny, zřízení protipožárních pásů a kosení ve vegetačním období s ponecháním na místě Odstraněním travin a rákosu se rozumí ruční posekání travin, rákosu a také všech zemědělských plodin, ruderálního porostu, stařiny apod. kosou. Obsahem standardu je pro odstranění travin ruční posekání trávy a rákosu se shrabání hráběmi a odnosem 50 m a uložením na hromady, pro odstranění ruderálního porostu a odstranění stařiny kosení, naložení shrabků, odvoz do 20 km a složení, pro protipožární pásy srýpnutí organického půdního krytu až na</t>
  </si>
  <si>
    <t>minerální půdu, vykopání a odhrabání organických látek a jejich odstranění na vzdálenost do 2 m, pro odstranění rákosu, plazivého rostlinstva a bodláčí práce při hloubce vody do 300 mm, vybrání a svázání prutů pro průmyslové účely do snopků vázacím drátem a odklizení a uložení až na vzdálenost do 20 m od kraje hladiny v dané době, pro vytrhání bodláčí uložení na hromady mimo pěstované travní plochy a spálení po seschnutí Popis standardu musí vymezit druh traviny, hustotu porostu a kosenou plochu.  Celoplošné vyžínání buřeně v lesních výsadbách Celoplošným vyžínáním buřeně v lesních výsadbách se rozumí odstranění maliní, ostružiní, křovin apod. Obsahem standardu je kosení, shrabání a složení do hromad  Odstranění křovin a stromů s odstraněním nebo ponecháním kořenů, seřezání vrbového proutí, prořezávka porostů.  Odstraněním křovin a stromů s odstraněním nebo</t>
  </si>
  <si>
    <t>ponecháním kořenů, seřezání vrbového proutí, prořezávka porostů a spálení křovin větví a stromů se rozumí odstranění křovin a stromů o průměru kmene do 100 mm, seřezávka vrbového proutí na vegetačních zpevněních, prořezávka porostů, spálení křovin, větví a stromů a odstranění pařezů odfrézováním. Obsahem standardu je: odstranění keřovitého porostu a seřezání vrbového proutí na vegetačních zpevněních (křoviny a stromky o průměru kmenů do 5 cm) ruční pilkou nebo sekerkou nad 5 cm motorovou pilou s odstraněním kořenů a složením do hromad do vzdálenosti 20 m ( průměrný počet stromků nebo keřů na 1 m2: řídký porost 1 ks, středně hustý 3 ks, hustý přes 3 ks), prořezávka porostů, výběr, prořezání a ponechání vytěženého nehroubí na místě, spálení odstraněných křovin, přihrnování křovin, očištění spáleniště, uložení popela a zbytků na hromadu, odstranění pařezů</t>
  </si>
  <si>
    <t>pojezdem traktoru s frézou na pařezy, nutné přemístění a uložení na hromady na vzdálenost do50 m nebo naložení na dopravní prostředek do sklonu terénu 1 : 5.</t>
  </si>
  <si>
    <t>Hloubené vykopávky</t>
  </si>
  <si>
    <t>Hloubení zapažených jam v hor.3 do 100 m3</t>
  </si>
  <si>
    <t>3*8</t>
  </si>
  <si>
    <t>Hloubení rýh š.do 200 cm hor.3 do 50 m3,STROJNĚ</t>
  </si>
  <si>
    <t>6*1,5   pro vodovod</t>
  </si>
  <si>
    <t>Položka obsahuje hloubení rýh traktorbagrem, naložení výkopku na dopravní prostředek pro svislé, nebo vodorovné přemístění, popř. přemístění výkopku do 3 m (po povrchu území), případné zajištění rypadel polštáři, udržování pracoviště a ochranu výkopiště proti stékání srážkové vody z okolního terénu i s jejím odvodněním, nebo odvedením, přesekání a odstranění kořenů ve výkopišti, odstranění napadávek, urovnání dna výkopu.</t>
  </si>
  <si>
    <t>Přemístění výkopku</t>
  </si>
  <si>
    <t>Vodorovné přemístění křovin do  5000 m</t>
  </si>
  <si>
    <t>Položka se nepoužívá pro přesun do 50 m, který je započten v položce pro odstranění křovin.</t>
  </si>
  <si>
    <t>Likvidace dřevní hmoty</t>
  </si>
  <si>
    <t>Vodorovné přemístění výkopku z hor.1-4 do 8000 m</t>
  </si>
  <si>
    <t>210+24+9</t>
  </si>
  <si>
    <t>-42-25</t>
  </si>
  <si>
    <t>Poplatek za skládku zeminy</t>
  </si>
  <si>
    <t>176</t>
  </si>
  <si>
    <t>Konstrukce ze zemin</t>
  </si>
  <si>
    <t>Zásyp jam, rýh, šachet se zhutněním</t>
  </si>
  <si>
    <t>3*8+9   zasypání vpustí+šachty</t>
  </si>
  <si>
    <t>6*1,5   vodovod</t>
  </si>
  <si>
    <t>Položka obsahuje strojní přemístění materiálu pro zásyp ze vzdálenosti do 10 m od okraje zásypu.</t>
  </si>
  <si>
    <t>Zásyp zářezu se šikmými stěnami bez zhutnění</t>
  </si>
  <si>
    <t>Položka obsahuje i přemístění materiálu pro zásyp ze vzdálenosti do 10 m od okraje zásypu.</t>
  </si>
  <si>
    <t>Povrchové úpravy terénu</t>
  </si>
  <si>
    <t>Úprava pláně v zářezech v hor. 1-4, se zhutněním</t>
  </si>
  <si>
    <t>30   ostrůvek</t>
  </si>
  <si>
    <t>227   chodník</t>
  </si>
  <si>
    <t>145   vozovky</t>
  </si>
  <si>
    <t>Položky jsou shodné i pro úpravu pláně v násypech.</t>
  </si>
  <si>
    <t>Rozprostření ornice, rovina, tl. 30-40 cm,do 500m2</t>
  </si>
  <si>
    <t>11,2+29,5+54,5</t>
  </si>
  <si>
    <t>Položka se používá pro souvislé plochy do 500 m2.</t>
  </si>
  <si>
    <t>Podkladní vrstvy komunikací, letišť a ploch</t>
  </si>
  <si>
    <t>Podklad z obal kamen. ACP 22+, š. do 3 m, tl.10 cm</t>
  </si>
  <si>
    <t>13,5+0,2*103</t>
  </si>
  <si>
    <t>Podklad z kameniva zpev.cementem SC C8/10 tl.15 cm</t>
  </si>
  <si>
    <t>Podklad z kameniva zpev.cementem SC C8/10 tl.25 cm</t>
  </si>
  <si>
    <t>13,5</t>
  </si>
  <si>
    <t>Podklad ze štěrkodrti po zhutnění tloušťky 15 cm</t>
  </si>
  <si>
    <t>13,5+199+12,5</t>
  </si>
  <si>
    <t>Podklad ze štěrkodrti po zhutnění tloušťky 25 cm</t>
  </si>
  <si>
    <t>133</t>
  </si>
  <si>
    <t>Podklad ze štěrkodrti po zhutnění tloušťky 10 cm</t>
  </si>
  <si>
    <t>199</t>
  </si>
  <si>
    <t>Kryty pozemních komunikací, letišť a ploch z kameniva nebo živičné</t>
  </si>
  <si>
    <t>Beton asfalt. ACO 11+,nebo ACO 16+,do 3 m, tl.5 cm</t>
  </si>
  <si>
    <t>13,5   zapravení kolem vpustí</t>
  </si>
  <si>
    <t>0,5*103   zapravení po zaříznutí</t>
  </si>
  <si>
    <t>Beton asfalt. ACL 16+ ložný, š. do 3 m, tl. 5 cm</t>
  </si>
  <si>
    <t>13,5+0,3*103</t>
  </si>
  <si>
    <t>Postřik živičný spojovací z emulze 0,3-0,5 kg/m2</t>
  </si>
  <si>
    <t>13,5*2+0,3*103+0,5+103</t>
  </si>
  <si>
    <t>Postřik živičný spojovací z emulze 0,5-1,0 kg/m2</t>
  </si>
  <si>
    <t>Kryty pozemních komunikací, letišť a ploch z betonu a ostatních hmot</t>
  </si>
  <si>
    <t>Kryt cementobeton. komunikací skup.1 a 2 tl. 20 cm</t>
  </si>
  <si>
    <t>Výztuž - příplatek za drátkobeton</t>
  </si>
  <si>
    <t>111*0,2</t>
  </si>
  <si>
    <t>Kryty pozemních komunikací, letišť a ploch dlážděných (předlažby)</t>
  </si>
  <si>
    <t>Kladení zámkové dlažby tl. 6 cm do drtě tl. 4 cm</t>
  </si>
  <si>
    <t>Od CÚ 2015/ II. není v jednotkové ceně započteno řezání dlaždic!!! Rozpočtuje se samostatnou položkou 596 29-1111.R00 Řezání zámkové dlažby tl. 60 mm. V položce jsou zakalkulovány i náklady na dodání hmot pro lože a na dodání materiálu na výplň spár. V položce nejsou zakalkulovány náklady na dodání zámkové dlažby, která se oceňuje ve specifikaci, ztratné se doporučuje ve výši 5%.</t>
  </si>
  <si>
    <t>Dlažba přírodní 20x20x6</t>
  </si>
  <si>
    <t>-4,5-6</t>
  </si>
  <si>
    <t>;ztratné 1%; 1,885</t>
  </si>
  <si>
    <t>Dlažba vibrolisovaná, standardní povrch</t>
  </si>
  <si>
    <t>Dlažba červená pro nevidomé 20x10x6</t>
  </si>
  <si>
    <t>4,5</t>
  </si>
  <si>
    <t>;ztratné 1%; 0,045</t>
  </si>
  <si>
    <t>Dlažba vibrolisovaná, barva červená</t>
  </si>
  <si>
    <t>Dlažba barevná  20x10x6</t>
  </si>
  <si>
    <t>6   červená</t>
  </si>
  <si>
    <t>;ztratné 1%; 0,06</t>
  </si>
  <si>
    <t>Dlažba vibrolisovaná, standardní povrch, barva červená, hnědá, pískovcová, antracit, karamel</t>
  </si>
  <si>
    <t>Řezání zámkové dlažby tl. 60 mm</t>
  </si>
  <si>
    <t>Příplatek za více barev dlažby tl. 6 cm, do drtě</t>
  </si>
  <si>
    <t>4,5+6</t>
  </si>
  <si>
    <t>V případě kladení více barev i více tvarů zámkové dlažby lze příplatky sčítat.</t>
  </si>
  <si>
    <t>Příplatek za více tvarů dlažby tl. 6 cm, do drtě</t>
  </si>
  <si>
    <t>Kladení zámkové dlažby tl. 8 cm do drtě tl. 4 cm</t>
  </si>
  <si>
    <t>12,5</t>
  </si>
  <si>
    <t>Od CÚ 2015/ II. není v jednotkové ceně započteno řezání dlaždic!!! Rozpočtuje se samostatnou položkou 596 29-1113.R00 Řezání zámkové dlažby tl. 80 mm. V položce jsou zakalkulovány i náklady na dodání hmot pro lože a na dodání materiálu na výplň spár. V položce nejsou zakalkulovány náklady na dodání zámkové dlažby, která se oceňuje ve specifikaci, ztratné se doporučuje ve výši 5%.</t>
  </si>
  <si>
    <t>Dlažba červená pro nevidomé 20x10x8</t>
  </si>
  <si>
    <t>5,2</t>
  </si>
  <si>
    <t>;ztratné 1%; 0,052</t>
  </si>
  <si>
    <t>Dlažba přírodní 20x20x8</t>
  </si>
  <si>
    <t>12,5-5,2</t>
  </si>
  <si>
    <t>;ztratné 1%; 0,073</t>
  </si>
  <si>
    <t>Příplatek za více barev dlažby tl. 8 cm, do drtě</t>
  </si>
  <si>
    <t>Příplatek za více tvarů dlažby tl. 8 cm, do drtě</t>
  </si>
  <si>
    <t>Vnitřní kanalizace</t>
  </si>
  <si>
    <t>Demontáž potrubí litinového do DN 200</t>
  </si>
  <si>
    <t>Demontáž šoupátek DN 150</t>
  </si>
  <si>
    <t>Demontáž hydrantu</t>
  </si>
  <si>
    <t>Potrubí z trub kameninových</t>
  </si>
  <si>
    <t>Montáž trub kameninových, pryž. kroužek, DN 150</t>
  </si>
  <si>
    <t>Položka je určena pro montáž potrubí z trub kameninových těsněných pryžovým kroužkem v otevřeném výkopu ve sklonu do 20 %. V položce nejsou zakalkulovány náklady na dodání trub; tyto materiály se oceňují ve specifikaci. Ztratné se doporučuje ve výši 1,5 %.</t>
  </si>
  <si>
    <t>Koleno hrdlové kamenina DN 150</t>
  </si>
  <si>
    <t>KeraBase koleno, normální pevnost.</t>
  </si>
  <si>
    <t>Trouba kameninová hrdlová DN 150, l=1,00 m</t>
  </si>
  <si>
    <t>Hrdlové trouby KeraBase pro použití v komunální a průmyslové kanalizační systémy. Otevřený výkop, normální zatížení.  DN 150 Délka 100 cm FN 34 kN/m Hmotnost 24 kg/ks Hrdlo L  v hrdle je vlepen těsnicí kroužek - materiál SBR kaučuk EPDM  trouba oboustranně glazována</t>
  </si>
  <si>
    <t>Napojení přípojky jádrovým vývrtem</t>
  </si>
  <si>
    <t>Potrubí z trub litinových</t>
  </si>
  <si>
    <t>Montáž potrubí tlakového, tvárná litina DN 150</t>
  </si>
  <si>
    <t>Položka je určena pro montáž potrubí hrdlového s pružnými spoji ve výkopu. Pro blokované spoje se cena zvýší o 15 - 20 %. V položce nejsou zakalkulovány náklady na dodávku trub; tyto trouby se oceňují ve speciifikaci. Ztratné se doporučuje ve výši 1 %.</t>
  </si>
  <si>
    <t>Trouba vod.lit.tlak. DN 150 mm</t>
  </si>
  <si>
    <t>Montáž tvarovek jednoosých, tvárná litina DN 150</t>
  </si>
  <si>
    <t>Položka je určena pro montáž tvarovek jednoosých s pružnými spoji ve výkopu. Pro blokované spoje se cena zvýší o 15 - 20 %. V položce nejsou zakalkulovány náklady na dodávku tvarovek; tyto tvarovky se oceňují ve speciifikaci. Ztratné se doporučuje ve výši 1 %.</t>
  </si>
  <si>
    <t>Spojka DN 150</t>
  </si>
  <si>
    <t>Odbočka A DN 150x80</t>
  </si>
  <si>
    <t>Tvarovka přír.litin. s hlad.koncem F DN 150</t>
  </si>
  <si>
    <t>Přechod přír. DN 200/150</t>
  </si>
  <si>
    <t>Ostatní konstrukce a práce na trubním vedení</t>
  </si>
  <si>
    <t>Montáž hydrantů podzemních DN 80</t>
  </si>
  <si>
    <t>Položka je určena pro montáž hydrantů podzemních (bez osazení poklopů) na potrubí. V položce nejsou zakalkulovány náklady na: - dodání hydrantů a hydrantových klíčů; tyto armatury se oceňují ve specifikaci; ztratné se doporučuje ve výši 1 % - podkladní bloky pod armatury, které se oceňují příslušnými položkami souborů 452 Podkladní a zajišťovací konstrukce včetně bednění části A01 tohoto sborníku - obsyp odvodňovacího zařízení hydrantů ze štěrku nebo štěrkopísku; obsyp se oceňuje příslušnými položkami souboru 451 Lože pod potrubí, stoky a drobné objekty části A01 tohoto sborníku. - osazení hydrantových poklopů; osazení poklopů se oceňuje příslušnými položkami souboru 89940 Osazení poklopů litinových části A01 tohoto sborníku.</t>
  </si>
  <si>
    <t>Hydrant podz., krytí 1,5m</t>
  </si>
  <si>
    <t>Osazení poklopů litinových hydrantových</t>
  </si>
  <si>
    <t>V položkách osazení poklopů jsou zakalkulovány i náklady na jejich podezdění.  V položkách nejsou zakalkulovány náklady na dodání poklopů; Tyto náklady se oceňují ve specifikaci. Ztratné se nestanoví.</t>
  </si>
  <si>
    <t>Poklop litinový - hydrantový DN 80</t>
  </si>
  <si>
    <t>Montáž vodovodních šoupátek ve výkopu DN 150</t>
  </si>
  <si>
    <t>Položka je určena pro montáž vodovodních šoupátek v otevřeném výkopu nebo v šachtách s osazením zemní soupravy (bez poklopů). V položce jsou zakalkulovány i náklady na vytvoření otvorů ve stropech šachet pro prostup zemních souprav šoupátek.  V položce nejsou zakalkulovány náklady na: - dodání šoupátek, zemních souprav a šoupátkových klíčů; tyto armatury se oceňují ve specifikaci; ztratné se doporučuje ve výši 1 %.  - podkladní bloky pod armatury, které se oceňují příslušnými položkami souborů 452 Podkladní a zajišťovací konstrukce včetně bednění části A01 tohoto sborníku - osazení šoupátkových poklopů, které se oceňuje položkami souboru 89940 Osazení poklopů litinových části A01 tohoto sborníku.</t>
  </si>
  <si>
    <t>Šoupátko vodárenské DN 200</t>
  </si>
  <si>
    <t>Osazení poklopů litinových šoupátkových</t>
  </si>
  <si>
    <t>Poklop litinový šoupátkový</t>
  </si>
  <si>
    <t>Fólie výstražná z PVC modrá, šířka 30 cm</t>
  </si>
  <si>
    <t>Orientační tabulky na sloupku ocelovém, betonovém</t>
  </si>
  <si>
    <t>Položka platí pro orientační tabulky na vodovodních a kanalizačních řadech. V položce jsou zakalkulovány náklady na dodání a připevnění tabulky a na osazení sloupku. V položce nejsou zakalkulovány náklady na zemní práce a na dodání sloupků (betonových nebo ocelových s betonovými patkami); sloupky se oceňují ve specifikaci. Ztratné se doporučuje ve výši 1 %.</t>
  </si>
  <si>
    <t>Sloupek Fe pr.60 pozinkovaný, l= 2000 mm</t>
  </si>
  <si>
    <t>Příslušenství dopravních značek - sloupek ocelový pozinkovaný pr. 60 mm</t>
  </si>
  <si>
    <t>Vodič signalizační CYY 4 mm2</t>
  </si>
  <si>
    <t>2*6</t>
  </si>
  <si>
    <t>Tlaková zkouška vodovodního potrubí do DN 200</t>
  </si>
  <si>
    <t>V položce jsou započteny náklady na přísun, montáž, demontáž a odsun zkoušecího čerpadla, napuštění tlakovou vodou a dodání vody pro tlakovou zkoušku.</t>
  </si>
  <si>
    <t>Zřízení vpusti uliční z dílců typ UVB - 50</t>
  </si>
  <si>
    <t>Položka je určena pro zřízení vpusti kanalizační uliční z betonových dílců. V položce jsou započteny i náklady na zřízení loiže ze štěrkopísku. V položce nejsou započteny náklady na: a) dodání betonových dílců; betonové dílce se oceňují ve specifikaci, ztratné se doporučuje ve výši 1 % b) litinové mříže; osazení mříží se oceňuje cenami souboru 89920 Osazení mříží litinových části A 01 tohoto sborníku; dodání mříží se oceňuje ve specifikaci, ztratné se nestanoví c) podkladní prstence; podkladní prstence se oceňují položkami souboru 45238 Podkladní a vyrovnávací konstrukce části A 01 tohoto sborníku.</t>
  </si>
  <si>
    <t>TBV-Q 50/20 CP horní dílec dešťové vpusti DN 500</t>
  </si>
  <si>
    <t>TBV-Q 50/29 SN skruž dešťové vpusti DN 500</t>
  </si>
  <si>
    <t>TBV-Q 50/59 SV skruž dešťové vpusti DN 500</t>
  </si>
  <si>
    <t>TBV-Q 50/59 SO skruž dešťové vpusti DN 500</t>
  </si>
  <si>
    <t>TBV-Q 50/79 KV BRNO spodní dílec vpusti DN 500</t>
  </si>
  <si>
    <t>Osazení mříží s rámem do 100kg</t>
  </si>
  <si>
    <t>Položka je určena pro osazení mříží litinových včetně rámů a košů na bahno. V položkách nejsou zakalkulovány náklady na dodání mříží, rámů a košů na bahno; Tyto náklady se oceňují ve specifikaci. Ztratné se nestanoví. V položce jsou zakalkulovány i náklady na cementovou maltu.</t>
  </si>
  <si>
    <t>Mříž vtoková plastová 500/500 mm D 40 t, včetně BEGU rámu</t>
  </si>
  <si>
    <t>53611 váha  38 kg nosnost  D 40t</t>
  </si>
  <si>
    <t>Doplňující konstrukce a práce na pozemních komunikacích a zpevněných plochách</t>
  </si>
  <si>
    <t>Řezání stávajícího živičného krytu tl. do 5 cm</t>
  </si>
  <si>
    <t>V položce jsou zakalkulovány i náklady na spotřebu vody.</t>
  </si>
  <si>
    <t>Dilatační spáry - řezání, spáry příčné š. 2 - 5 mm</t>
  </si>
  <si>
    <t>39*2</t>
  </si>
  <si>
    <t>Dilatační spáry řezané příčné 9 mm,zalití za tepla</t>
  </si>
  <si>
    <t>Osazení stojat. obrub.bet. s opěrou,lože z C 16/20</t>
  </si>
  <si>
    <t>55+70+114</t>
  </si>
  <si>
    <t>Osazení betonového silničního nebo chodníkového obrubníku.</t>
  </si>
  <si>
    <t>Obrubník silniční nájezdový 1000/150/150 šedý</t>
  </si>
  <si>
    <t>;ztratné 1%; 0,7</t>
  </si>
  <si>
    <t>Obrubník chodníkový ABO 14-10 1000/100/250</t>
  </si>
  <si>
    <t>;ztratné 1%; 1,14</t>
  </si>
  <si>
    <t>cena Pardubice  Impregnace Protect System IN</t>
  </si>
  <si>
    <t>Obrubník silniční 1000/150/250 šedý</t>
  </si>
  <si>
    <t>;ztratné 1%; 0,55</t>
  </si>
  <si>
    <t>Osazení obrubníku bet. zastávkového, lože C 16/20</t>
  </si>
  <si>
    <t>Obrubník zastávkový přímý 400/290/1003</t>
  </si>
  <si>
    <t>;ztratné 1%; 0,2</t>
  </si>
  <si>
    <t>BEZBARIÉROVÉ OBRUBNÍKY K ZASTÁVKÁM A NÁSTUPIŠTÍM MHD  Bezbariérové obrubníky jsou technicky výjimečným řešením autobusových zastávek.  Jedná se o systém metrových prefabrikovaných prvků sestavených do příslušné skladby tak, aby bylo zajištěno především bezpečné, plynulé a rychlejší odbavení cestujících oproti klasickým typům zastávek.  Samozřejmostí je zajištění bezbariérového přístupu do vozu pro občany se sníženou schopností pohybu.  Prvek vyniká vysokou odolností vůči agresivnímu slanému prostředí.</t>
  </si>
  <si>
    <t>Obrubník zastávkový náběhový levý 400/290-250/1003</t>
  </si>
  <si>
    <t>Obrubník zastávkový náběhový pravý 400/290-250/1003</t>
  </si>
  <si>
    <t>Osazení svislé dopr.značky na sloup veřej. osvětl.</t>
  </si>
  <si>
    <t>Včetně dodávky upevňovadel.</t>
  </si>
  <si>
    <t>Značka dopr příkazová C1-C14b 700 fól 1, EG 7letá</t>
  </si>
  <si>
    <t>Typy a provedení dopravního značení jsou v souladu s příslušným zákonem a vyhláškou č. 30/2001 Sb. a jsou schváleny Ministerstvem dopravy a spojů k používání na pozemních komunikacích.  EG - Enginner Grade - reflexní fólie tř. 1 HlG  -  Hight Intensity Grade - reflexní fólie tř. 2  štít z pozinkovaného plechu s dvojitým ohybem okraje po celém obvodu značky retroreflexní fólie  I. třídy 3M EG nebo podobná, záruka 7 let</t>
  </si>
  <si>
    <t>Značka dopr inf IP 11-13 500/700 fól1, EG7letá</t>
  </si>
  <si>
    <t>Typy a provedení dopravního značení jsou v souladu s příslušným zákonem a vyhláškou č. 30/2001 Sb. a jsou schváleny Ministerstvem dopravy a spojů k používání na pozemních komunikacích.  EG - Enginner Grade - reflexní fólie tř. 1 HlG  -  Hight Intensity Grade - reflexní fólie tř. 2 IP - Informativní dopravní značka provozní  štít z pozinkovaného plechu s dvojitým ohybem okraje po celém obvodu značky retroreflexní fólie  I. třídy 3M EG nebo podobná, záruka 7 let</t>
  </si>
  <si>
    <t>Značka dopr inf IJ 4a, 500/500 fólie 1, EG 7 letá</t>
  </si>
  <si>
    <t>Typy a provedení dopravního značení jsou v souladu s příslušným zákonem a vyhláškou č. 30/2001 Sb. a jsou schváleny Ministerstvem dopravy a spojů k používání na pozemních komunikacích.  IJ - Informativní dopravní značka jiná EG - Enginner Grade - reflexní fólie tř. 1  štít z pozinkovaného plechu s dvojitým ohybem okraje po celém obvodu značky retroreflexní fólie  I. třídy 3M EG nebo podobná, záruka 7 let</t>
  </si>
  <si>
    <t>Osazení sloupků dopr.značky vč. beton. základu</t>
  </si>
  <si>
    <t>V položce započteno: výkop jamky s odhozem výkopku na vzdálenost do 3 m, osazení sloupku do monolitického betonového základu, dodávka a osazení víčka ke sloupku.</t>
  </si>
  <si>
    <t>Dopravní příslušenství, sloupek Zn 60-300</t>
  </si>
  <si>
    <t>Příslušenství dopravních značek  Sloupek Zn 60  pozinkovaná ocel. trubka pr. 60 délky od 200 do 600 mm, tl. 2,5 mm</t>
  </si>
  <si>
    <t>Dopravní příslušenství, patka hliníková HP 60</t>
  </si>
  <si>
    <t>Příslušenství dopravních značek  Hliníková patka HP 60 - čtvercový základ pro upevnění sloupku dopravní značky o pr. 60 mm včetně kotevních šroubů pro ukotvení patky v betonovém základu</t>
  </si>
  <si>
    <t>Osazení svislé dopr.značky na sloupek nebo konzolu</t>
  </si>
  <si>
    <t>Vodor.značení dělicích čar 25 cm plastem,nehlučné</t>
  </si>
  <si>
    <t>71   V4</t>
  </si>
  <si>
    <t>Včetně posypu balotinou.</t>
  </si>
  <si>
    <t>Vodor.značení dělicích čar 12 cm plastem,nehlučné</t>
  </si>
  <si>
    <t>34   žlutá V12a</t>
  </si>
  <si>
    <t>Vodorovné značení stopčar,zeber atd.plastem,nehluč</t>
  </si>
  <si>
    <t>21   V13a</t>
  </si>
  <si>
    <t>3*3   V9a</t>
  </si>
  <si>
    <t>5*0,5*8   V7a</t>
  </si>
  <si>
    <t>2*4   nápis BUS</t>
  </si>
  <si>
    <t>Předznačení pro značení dělicí čáry,vodicí proužky</t>
  </si>
  <si>
    <t>113+71+34</t>
  </si>
  <si>
    <t>Předznačení pro značení stopčáry, zebry, nápisů</t>
  </si>
  <si>
    <t>21+3*3+5*0,5*8+2*4</t>
  </si>
  <si>
    <t>Odstranění stvajícího vodorovného značení</t>
  </si>
  <si>
    <t>Různé dokončovací konstrukce a práce inženýrských staveb</t>
  </si>
  <si>
    <t>Výplň potrubí cementopopílkovou suspenzí DN 150</t>
  </si>
  <si>
    <t>2   zaslepení stávající přípojky</t>
  </si>
  <si>
    <t>Bourání konstrukcí</t>
  </si>
  <si>
    <t>Vybourání uliční vpusti DN do 500 mm</t>
  </si>
  <si>
    <t>V položce není kalkulována manipulace se sutí, která se oceňuje samostatně položkami souboru 979.</t>
  </si>
  <si>
    <t>Odstranění doprav. značky ze sloupů nebo konzolí</t>
  </si>
  <si>
    <t>Odstranění doprav. značek, plastový maják</t>
  </si>
  <si>
    <t>Odstranění doprav.značek se sloupky, s bet.patkami</t>
  </si>
  <si>
    <t>Přesuny sutí</t>
  </si>
  <si>
    <t>Vodorovné přemístění suti na skládku do 6000 m</t>
  </si>
  <si>
    <t>Pro volbu položky je rozhodující dopravní vzdálenost těžiště skládky a půdorysné plochy objektu. V položce jsou zakalkulovány i náklady na naložení suti na dopravní prostředek a složení.</t>
  </si>
  <si>
    <t>Příplatek za dalších započatých 1000 m nad 6000 m</t>
  </si>
  <si>
    <t>204,043*2   odvoz do 8 km</t>
  </si>
  <si>
    <t>Vodorovná doprava vybour. hmot po suchu do 5 km</t>
  </si>
  <si>
    <t>Poplatek za skládku suti-obal.kam.-asfalt do 30x30</t>
  </si>
  <si>
    <t>Položka je určena pro suť o velikosti kusu do 30x30 cm (technologický materiál určený k recyklaci). .</t>
  </si>
  <si>
    <t>Poplatek za skládku čistá suť - DUFONEV Brno</t>
  </si>
  <si>
    <t>Poplatek za skládku suti - železobeton</t>
  </si>
  <si>
    <t>Poplatek za skládku suti - beton nad 30x30 cm</t>
  </si>
  <si>
    <t>Položka je určena pro suť o velikosti kusu nad 30x30 cm.</t>
  </si>
  <si>
    <t>Poplatek za skládku suti - beton do 30x30 cm</t>
  </si>
  <si>
    <t>Položka je určena pro suť o velikosti kusu do 30x30 cm (technologický materiál určený k recyklaci).</t>
  </si>
  <si>
    <t>Příplatek k dopravě vybour.hmot za dalších 5 km</t>
  </si>
  <si>
    <t>48,11822</t>
  </si>
  <si>
    <t>Ostatní materiál</t>
  </si>
  <si>
    <t>Marker pro vyhledání tras</t>
  </si>
  <si>
    <t>Přesun hmot, pozemní komunikace, kryt betonový</t>
  </si>
  <si>
    <t>Doba výstavby:</t>
  </si>
  <si>
    <t>Začátek výstavby:</t>
  </si>
  <si>
    <t>Konec výstavby:</t>
  </si>
  <si>
    <t>Zpracováno dne:</t>
  </si>
  <si>
    <t>M.j.</t>
  </si>
  <si>
    <t>m2</t>
  </si>
  <si>
    <t>m</t>
  </si>
  <si>
    <t>m3</t>
  </si>
  <si>
    <t>kmpl</t>
  </si>
  <si>
    <t>kus</t>
  </si>
  <si>
    <t>t</t>
  </si>
  <si>
    <t>Množství</t>
  </si>
  <si>
    <t>12.06.2018</t>
  </si>
  <si>
    <t>Jednot.</t>
  </si>
  <si>
    <t>cena (Kč)</t>
  </si>
  <si>
    <t>Náklady (Kč)</t>
  </si>
  <si>
    <t>Dodávka</t>
  </si>
  <si>
    <t>Celkem:</t>
  </si>
  <si>
    <t>Objednatel:</t>
  </si>
  <si>
    <t>Projektant:</t>
  </si>
  <si>
    <t>Zhotovitel:</t>
  </si>
  <si>
    <t>Zpracoval:</t>
  </si>
  <si>
    <t>Montáž</t>
  </si>
  <si>
    <t>Brněnské komunikace, a.s.</t>
  </si>
  <si>
    <t>Matula, PK, Šumavská 15, 602 00  Brno</t>
  </si>
  <si>
    <t>Ing. R. Matulová</t>
  </si>
  <si>
    <t>Celkem</t>
  </si>
  <si>
    <t>Hmotnost (t)</t>
  </si>
  <si>
    <t>Cenová</t>
  </si>
  <si>
    <t>soustava</t>
  </si>
  <si>
    <t>RTS I / 2018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</si>
  <si>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</si>
  <si>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</si>
  <si>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</si>
  <si>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</si>
  <si>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</si>
  <si>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</si>
  <si>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</si>
  <si>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</si>
  <si>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</si>
  <si>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0</t>
  </si>
  <si>
    <t>11_</t>
  </si>
  <si>
    <t>12_</t>
  </si>
  <si>
    <t>13_</t>
  </si>
  <si>
    <t>16_</t>
  </si>
  <si>
    <t>17_</t>
  </si>
  <si>
    <t>18_</t>
  </si>
  <si>
    <t>56_</t>
  </si>
  <si>
    <t>57_</t>
  </si>
  <si>
    <t>58_</t>
  </si>
  <si>
    <t>59_</t>
  </si>
  <si>
    <t>721_</t>
  </si>
  <si>
    <t>83_</t>
  </si>
  <si>
    <t>85_</t>
  </si>
  <si>
    <t>89_</t>
  </si>
  <si>
    <t>91_</t>
  </si>
  <si>
    <t>93_</t>
  </si>
  <si>
    <t>96_</t>
  </si>
  <si>
    <t>S_</t>
  </si>
  <si>
    <t>Z99999_</t>
  </si>
  <si>
    <t>1_</t>
  </si>
  <si>
    <t>5_</t>
  </si>
  <si>
    <t>72_</t>
  </si>
  <si>
    <t>8_</t>
  </si>
  <si>
    <t>9_</t>
  </si>
  <si>
    <t>Z_</t>
  </si>
  <si>
    <t>_</t>
  </si>
  <si>
    <t>Slepý stavební rozpočet - rekapitulace</t>
  </si>
  <si>
    <t>Zkrácený popis</t>
  </si>
  <si>
    <t>Náklady (Kč) - dodávka</t>
  </si>
  <si>
    <t>Náklady (Kč) - Montáž</t>
  </si>
  <si>
    <t>Náklady (Kč) - celkem</t>
  </si>
  <si>
    <t>Celková hmotnost (t)</t>
  </si>
  <si>
    <t>T</t>
  </si>
  <si>
    <t>Rozpočtové náklady v Kč</t>
  </si>
  <si>
    <t>A</t>
  </si>
  <si>
    <t>HSV</t>
  </si>
  <si>
    <t>PSV</t>
  </si>
  <si>
    <t>"M"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</si>
  <si>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</si>
  <si>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</si>
  <si>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</si>
  <si>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</si>
  <si>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</si>
  <si>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</si>
  <si>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</si>
  <si>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</si>
  <si>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</si>
  <si>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</si>
  <si>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</si>
  <si>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</si>
  <si>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</si>
  <si>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</si>
  <si>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</si>
  <si>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</si>
  <si>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</si>
  <si>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</si>
  <si>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</si>
  <si>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</si>
  <si>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</si>
  <si>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</si>
  <si>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</si>
  <si>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</si>
  <si>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</si>
  <si>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</si>
  <si>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</si>
  <si>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</si>
  <si>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</si>
  <si>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</si>
  <si>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</si>
  <si>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</si>
  <si>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</si>
  <si>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</si>
  <si>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</si>
  <si>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</si>
  <si>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</si>
  <si>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07. VÝKAZ VÝMĚR</t>
  </si>
  <si>
    <t>124</t>
  </si>
  <si>
    <t>VON1</t>
  </si>
  <si>
    <t>Dopravně inženýrská opatření</t>
  </si>
  <si>
    <t>kpl</t>
  </si>
  <si>
    <t>Vedlejší a ostatní rozpočtové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</si>
</sst>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b/>
      <sz val="10"/>
      <color indexed="56"/>
      <name val="Arial"/>
      <charset val="238"/>
    </font>
    <font>
      <i/>
      <sz val="10"/>
      <color indexed="58"/>
      <name val="Arial"/>
      <charset val="238"/>
    </font>
    <font>
      <i/>
      <sz val="10"/>
      <color indexed="63"/>
      <name val="Arial"/>
      <charset val="238"/>
    </font>
    <font>
      <sz val="10"/>
      <color indexed="59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left" vertical="center"/>
    </xf>
    <xf numFmtId="49" fontId="1" fillId="0" borderId="11" xfId="0" applyNumberFormat="1" applyFont="1" applyFill="1" applyBorder="1" applyAlignment="1" applyProtection="1">
      <alignment horizontal="left" vertical="center"/>
    </xf>
    <xf numFmtId="49" fontId="8" fillId="2" borderId="7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right" vertical="top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left" vertical="center"/>
    </xf>
    <xf numFmtId="49" fontId="10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10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15" xfId="0" applyNumberFormat="1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49" fontId="8" fillId="2" borderId="7" xfId="0" applyNumberFormat="1" applyFont="1" applyFill="1" applyBorder="1" applyAlignment="1" applyProtection="1">
      <alignment horizontal="right" vertic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49" fontId="3" fillId="0" borderId="23" xfId="0" applyNumberFormat="1" applyFont="1" applyFill="1" applyBorder="1" applyAlignment="1" applyProtection="1">
      <alignment horizontal="center" vertical="center"/>
    </xf>
    <xf numFmtId="49" fontId="3" fillId="0" borderId="24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25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8" fillId="2" borderId="7" xfId="0" applyNumberFormat="1" applyFont="1" applyFill="1" applyBorder="1" applyAlignment="1" applyProtection="1">
      <alignment horizontal="right" vertical="center"/>
    </xf>
    <xf numFmtId="4" fontId="8" fillId="2" borderId="0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</xf>
    <xf numFmtId="49" fontId="3" fillId="0" borderId="26" xfId="0" applyNumberFormat="1" applyFont="1" applyFill="1" applyBorder="1" applyAlignment="1" applyProtection="1">
      <alignment horizontal="left" vertical="center"/>
    </xf>
    <xf numFmtId="49" fontId="1" fillId="0" borderId="7" xfId="0" applyNumberFormat="1" applyFont="1" applyFill="1" applyBorder="1" applyAlignment="1" applyProtection="1">
      <alignment horizontal="left" vertical="center"/>
    </xf>
    <xf numFmtId="49" fontId="3" fillId="0" borderId="27" xfId="0" applyNumberFormat="1" applyFont="1" applyFill="1" applyBorder="1" applyAlignment="1" applyProtection="1">
      <alignment horizontal="left" vertical="center"/>
    </xf>
    <xf numFmtId="49" fontId="3" fillId="0" borderId="27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3" fillId="0" borderId="28" xfId="0" applyNumberFormat="1" applyFont="1" applyFill="1" applyBorder="1" applyAlignment="1" applyProtection="1">
      <alignment horizontal="center" vertical="center"/>
    </xf>
    <xf numFmtId="4" fontId="1" fillId="0" borderId="7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vertical="center"/>
    </xf>
    <xf numFmtId="49" fontId="13" fillId="3" borderId="31" xfId="0" applyNumberFormat="1" applyFont="1" applyFill="1" applyBorder="1" applyAlignment="1" applyProtection="1">
      <alignment horizontal="center" vertical="center"/>
    </xf>
    <xf numFmtId="49" fontId="14" fillId="0" borderId="32" xfId="0" applyNumberFormat="1" applyFont="1" applyFill="1" applyBorder="1" applyAlignment="1" applyProtection="1">
      <alignment horizontal="left" vertical="center"/>
    </xf>
    <xf numFmtId="49" fontId="14" fillId="0" borderId="33" xfId="0" applyNumberFormat="1" applyFont="1" applyFill="1" applyBorder="1" applyAlignment="1" applyProtection="1">
      <alignment horizontal="left" vertical="center"/>
    </xf>
    <xf numFmtId="0" fontId="1" fillId="0" borderId="35" xfId="0" applyNumberFormat="1" applyFont="1" applyFill="1" applyBorder="1" applyAlignment="1" applyProtection="1">
      <alignment vertical="center"/>
    </xf>
    <xf numFmtId="49" fontId="7" fillId="0" borderId="7" xfId="0" applyNumberFormat="1" applyFont="1" applyFill="1" applyBorder="1" applyAlignment="1" applyProtection="1">
      <alignment horizontal="left" vertical="center"/>
    </xf>
    <xf numFmtId="49" fontId="15" fillId="0" borderId="31" xfId="0" applyNumberFormat="1" applyFont="1" applyFill="1" applyBorder="1" applyAlignment="1" applyProtection="1">
      <alignment horizontal="left" vertical="center"/>
    </xf>
    <xf numFmtId="0" fontId="1" fillId="0" borderId="7" xfId="0" applyNumberFormat="1" applyFont="1" applyFill="1" applyBorder="1" applyAlignment="1" applyProtection="1">
      <alignment vertical="center"/>
    </xf>
    <xf numFmtId="0" fontId="1" fillId="0" borderId="20" xfId="0" applyNumberFormat="1" applyFont="1" applyFill="1" applyBorder="1" applyAlignment="1" applyProtection="1">
      <alignment vertical="center"/>
    </xf>
    <xf numFmtId="0" fontId="1" fillId="0" borderId="29" xfId="0" applyNumberFormat="1" applyFont="1" applyFill="1" applyBorder="1" applyAlignment="1" applyProtection="1">
      <alignment vertical="center"/>
    </xf>
    <xf numFmtId="4" fontId="15" fillId="0" borderId="31" xfId="0" applyNumberFormat="1" applyFont="1" applyFill="1" applyBorder="1" applyAlignment="1" applyProtection="1">
      <alignment horizontal="right" vertical="center"/>
    </xf>
    <xf numFmtId="49" fontId="15" fillId="0" borderId="31" xfId="0" applyNumberFormat="1" applyFont="1" applyFill="1" applyBorder="1" applyAlignment="1" applyProtection="1">
      <alignment horizontal="right" vertical="center"/>
    </xf>
    <xf numFmtId="4" fontId="15" fillId="0" borderId="17" xfId="0" applyNumberFormat="1" applyFont="1" applyFill="1" applyBorder="1" applyAlignment="1" applyProtection="1">
      <alignment horizontal="right" vertical="center"/>
    </xf>
    <xf numFmtId="0" fontId="1" fillId="0" borderId="42" xfId="0" applyNumberFormat="1" applyFont="1" applyFill="1" applyBorder="1" applyAlignment="1" applyProtection="1">
      <alignment vertical="center"/>
    </xf>
    <xf numFmtId="0" fontId="1" fillId="0" borderId="21" xfId="0" applyNumberFormat="1" applyFont="1" applyFill="1" applyBorder="1" applyAlignment="1" applyProtection="1">
      <alignment vertical="center"/>
    </xf>
    <xf numFmtId="0" fontId="1" fillId="0" borderId="34" xfId="0" applyNumberFormat="1" applyFont="1" applyFill="1" applyBorder="1" applyAlignment="1" applyProtection="1">
      <alignment vertical="center"/>
    </xf>
    <xf numFmtId="4" fontId="14" fillId="3" borderId="38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20" xfId="0" applyNumberFormat="1" applyFont="1" applyFill="1" applyBorder="1" applyAlignment="1" applyProtection="1">
      <alignment horizontal="left" vertical="center"/>
    </xf>
    <xf numFmtId="0" fontId="1" fillId="0" borderId="21" xfId="0" applyNumberFormat="1" applyFont="1" applyFill="1" applyBorder="1" applyAlignment="1" applyProtection="1">
      <alignment horizontal="left" vertical="center"/>
    </xf>
    <xf numFmtId="49" fontId="1" fillId="0" borderId="21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21" xfId="0" applyNumberFormat="1" applyFont="1" applyFill="1" applyBorder="1" applyAlignment="1" applyProtection="1">
      <alignment horizontal="left" vertical="center" wrapText="1"/>
    </xf>
    <xf numFmtId="0" fontId="1" fillId="0" borderId="43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9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49" fontId="12" fillId="0" borderId="30" xfId="0" applyNumberFormat="1" applyFont="1" applyFill="1" applyBorder="1" applyAlignment="1" applyProtection="1">
      <alignment horizontal="center" vertical="center"/>
    </xf>
    <xf numFmtId="0" fontId="12" fillId="0" borderId="30" xfId="0" applyNumberFormat="1" applyFont="1" applyFill="1" applyBorder="1" applyAlignment="1" applyProtection="1">
      <alignment horizontal="center" vertical="center"/>
    </xf>
    <xf numFmtId="49" fontId="16" fillId="0" borderId="34" xfId="0" applyNumberFormat="1" applyFont="1" applyFill="1" applyBorder="1" applyAlignment="1" applyProtection="1">
      <alignment horizontal="left" vertical="center"/>
    </xf>
    <xf numFmtId="0" fontId="16" fillId="0" borderId="38" xfId="0" applyNumberFormat="1" applyFont="1" applyFill="1" applyBorder="1" applyAlignment="1" applyProtection="1">
      <alignment horizontal="left" vertical="center"/>
    </xf>
    <xf numFmtId="49" fontId="15" fillId="0" borderId="34" xfId="0" applyNumberFormat="1" applyFont="1" applyFill="1" applyBorder="1" applyAlignment="1" applyProtection="1">
      <alignment horizontal="left" vertical="center"/>
    </xf>
    <xf numFmtId="0" fontId="15" fillId="0" borderId="38" xfId="0" applyNumberFormat="1" applyFont="1" applyFill="1" applyBorder="1" applyAlignment="1" applyProtection="1">
      <alignment horizontal="left" vertical="center"/>
    </xf>
    <xf numFmtId="49" fontId="14" fillId="0" borderId="34" xfId="0" applyNumberFormat="1" applyFont="1" applyFill="1" applyBorder="1" applyAlignment="1" applyProtection="1">
      <alignment horizontal="left" vertical="center"/>
    </xf>
    <xf numFmtId="0" fontId="14" fillId="0" borderId="38" xfId="0" applyNumberFormat="1" applyFont="1" applyFill="1" applyBorder="1" applyAlignment="1" applyProtection="1">
      <alignment horizontal="left" vertical="center"/>
    </xf>
    <xf numFmtId="49" fontId="14" fillId="3" borderId="34" xfId="0" applyNumberFormat="1" applyFont="1" applyFill="1" applyBorder="1" applyAlignment="1" applyProtection="1">
      <alignment horizontal="left" vertical="center"/>
    </xf>
    <xf numFmtId="0" fontId="14" fillId="3" borderId="30" xfId="0" applyNumberFormat="1" applyFont="1" applyFill="1" applyBorder="1" applyAlignment="1" applyProtection="1">
      <alignment horizontal="left" vertical="center"/>
    </xf>
    <xf numFmtId="49" fontId="15" fillId="0" borderId="36" xfId="0" applyNumberFormat="1" applyFont="1" applyFill="1" applyBorder="1" applyAlignment="1" applyProtection="1">
      <alignment horizontal="left" vertical="center"/>
    </xf>
    <xf numFmtId="0" fontId="15" fillId="0" borderId="7" xfId="0" applyNumberFormat="1" applyFont="1" applyFill="1" applyBorder="1" applyAlignment="1" applyProtection="1">
      <alignment horizontal="left" vertical="center"/>
    </xf>
    <xf numFmtId="0" fontId="15" fillId="0" borderId="39" xfId="0" applyNumberFormat="1" applyFont="1" applyFill="1" applyBorder="1" applyAlignment="1" applyProtection="1">
      <alignment horizontal="left" vertical="center"/>
    </xf>
    <xf numFmtId="49" fontId="15" fillId="0" borderId="25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0" borderId="40" xfId="0" applyNumberFormat="1" applyFont="1" applyFill="1" applyBorder="1" applyAlignment="1" applyProtection="1">
      <alignment horizontal="left" vertical="center"/>
    </xf>
    <xf numFmtId="49" fontId="15" fillId="0" borderId="37" xfId="0" applyNumberFormat="1" applyFont="1" applyFill="1" applyBorder="1" applyAlignment="1" applyProtection="1">
      <alignment horizontal="left" vertical="center"/>
    </xf>
    <xf numFmtId="0" fontId="15" fillId="0" borderId="9" xfId="0" applyNumberFormat="1" applyFont="1" applyFill="1" applyBorder="1" applyAlignment="1" applyProtection="1">
      <alignment horizontal="left" vertical="center"/>
    </xf>
    <xf numFmtId="0" fontId="15" fillId="0" borderId="41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0" fontId="1" fillId="0" borderId="20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0" fontId="1" fillId="0" borderId="22" xfId="0" applyNumberFormat="1" applyFont="1" applyFill="1" applyBorder="1" applyAlignment="1" applyProtection="1">
      <alignment horizontal="left" vertical="center"/>
    </xf>
    <xf numFmtId="49" fontId="1" fillId="0" borderId="8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3" fillId="0" borderId="16" xfId="0" applyNumberFormat="1" applyFont="1" applyFill="1" applyBorder="1" applyAlignment="1" applyProtection="1">
      <alignment horizontal="center" vertical="center"/>
    </xf>
    <xf numFmtId="0" fontId="3" fillId="0" borderId="18" xfId="0" applyNumberFormat="1" applyFont="1" applyFill="1" applyBorder="1" applyAlignment="1" applyProtection="1">
      <alignment horizontal="center" vertical="center"/>
    </xf>
    <xf numFmtId="49" fontId="3" fillId="0" borderId="8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866775</xdr:colOff>
      <xdr:row>0</xdr:row>
      <xdr:rowOff>885825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6775" cy="8858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666750</xdr:colOff>
      <xdr:row>0</xdr:row>
      <xdr:rowOff>885825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1440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view="pageBreakPreview" zoomScale="60" zoomScaleNormal="100" workbookViewId="0">
      <selection activeCell="K8" sqref="K8"/>
    </sheetView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65"/>
      <c r="B1" s="48"/>
      <c r="C1" s="67" t="s">
        <v>634</v>
      </c>
      <c r="D1" s="68"/>
      <c r="E1" s="68"/>
      <c r="F1" s="68"/>
      <c r="G1" s="68"/>
      <c r="H1" s="68"/>
      <c r="I1" s="68"/>
    </row>
    <row r="2" spans="1:10" x14ac:dyDescent="0.2">
      <c r="A2" s="69" t="s">
        <v>1</v>
      </c>
      <c r="B2" s="70"/>
      <c r="C2" s="73" t="str">
        <f>'Stavební rozpočet'!C2</f>
        <v>ZASTÁVKA JIHLAVSKÁ - KREMATORIUM, 2. ETAPA</v>
      </c>
      <c r="D2" s="74"/>
      <c r="E2" s="76" t="s">
        <v>536</v>
      </c>
      <c r="F2" s="76" t="str">
        <f>'Stavební rozpočet'!I2</f>
        <v>Brněnské komunikace, a.s.</v>
      </c>
      <c r="G2" s="70"/>
      <c r="H2" s="76" t="s">
        <v>630</v>
      </c>
      <c r="I2" s="77"/>
      <c r="J2" s="33"/>
    </row>
    <row r="3" spans="1:10" x14ac:dyDescent="0.2">
      <c r="A3" s="71"/>
      <c r="B3" s="72"/>
      <c r="C3" s="75"/>
      <c r="D3" s="75"/>
      <c r="E3" s="72"/>
      <c r="F3" s="72"/>
      <c r="G3" s="72"/>
      <c r="H3" s="72"/>
      <c r="I3" s="78"/>
      <c r="J3" s="33"/>
    </row>
    <row r="4" spans="1:10" x14ac:dyDescent="0.2">
      <c r="A4" s="80" t="s">
        <v>2</v>
      </c>
      <c r="B4" s="72"/>
      <c r="C4" s="81" t="str">
        <f>'Stavební rozpočet'!C4</f>
        <v xml:space="preserve"> </v>
      </c>
      <c r="D4" s="72"/>
      <c r="E4" s="81" t="s">
        <v>537</v>
      </c>
      <c r="F4" s="81" t="str">
        <f>'Stavební rozpočet'!I4</f>
        <v>Matula, PK, Šumavská 15, 602 00  Brno</v>
      </c>
      <c r="G4" s="72"/>
      <c r="H4" s="81" t="s">
        <v>630</v>
      </c>
      <c r="I4" s="79"/>
      <c r="J4" s="33"/>
    </row>
    <row r="5" spans="1:10" x14ac:dyDescent="0.2">
      <c r="A5" s="71"/>
      <c r="B5" s="72"/>
      <c r="C5" s="72"/>
      <c r="D5" s="72"/>
      <c r="E5" s="72"/>
      <c r="F5" s="72"/>
      <c r="G5" s="72"/>
      <c r="H5" s="72"/>
      <c r="I5" s="78"/>
      <c r="J5" s="33"/>
    </row>
    <row r="6" spans="1:10" x14ac:dyDescent="0.2">
      <c r="A6" s="80" t="s">
        <v>3</v>
      </c>
      <c r="B6" s="72"/>
      <c r="C6" s="81" t="str">
        <f>'Stavební rozpočet'!C6</f>
        <v>Brno - střed</v>
      </c>
      <c r="D6" s="72"/>
      <c r="E6" s="81" t="s">
        <v>538</v>
      </c>
      <c r="F6" s="81" t="str">
        <f>'Stavební rozpočet'!I6</f>
        <v xml:space="preserve"> </v>
      </c>
      <c r="G6" s="72"/>
      <c r="H6" s="81" t="s">
        <v>630</v>
      </c>
      <c r="I6" s="79"/>
      <c r="J6" s="33"/>
    </row>
    <row r="7" spans="1:10" x14ac:dyDescent="0.2">
      <c r="A7" s="71"/>
      <c r="B7" s="72"/>
      <c r="C7" s="72"/>
      <c r="D7" s="72"/>
      <c r="E7" s="72"/>
      <c r="F7" s="72"/>
      <c r="G7" s="72"/>
      <c r="H7" s="72"/>
      <c r="I7" s="78"/>
      <c r="J7" s="33"/>
    </row>
    <row r="8" spans="1:10" x14ac:dyDescent="0.2">
      <c r="A8" s="80" t="s">
        <v>519</v>
      </c>
      <c r="B8" s="72"/>
      <c r="C8" s="81" t="str">
        <f>'Stavební rozpočet'!F4</f>
        <v xml:space="preserve"> </v>
      </c>
      <c r="D8" s="72"/>
      <c r="E8" s="81" t="s">
        <v>520</v>
      </c>
      <c r="F8" s="81" t="str">
        <f>'Stavební rozpočet'!F6</f>
        <v xml:space="preserve"> </v>
      </c>
      <c r="G8" s="72"/>
      <c r="H8" s="84" t="s">
        <v>631</v>
      </c>
      <c r="I8" s="79" t="s">
        <v>129</v>
      </c>
      <c r="J8" s="33"/>
    </row>
    <row r="9" spans="1:10" x14ac:dyDescent="0.2">
      <c r="A9" s="71"/>
      <c r="B9" s="72"/>
      <c r="C9" s="72"/>
      <c r="D9" s="72"/>
      <c r="E9" s="72"/>
      <c r="F9" s="72"/>
      <c r="G9" s="72"/>
      <c r="H9" s="72"/>
      <c r="I9" s="78"/>
      <c r="J9" s="33"/>
    </row>
    <row r="10" spans="1:10" x14ac:dyDescent="0.2">
      <c r="A10" s="80" t="s">
        <v>4</v>
      </c>
      <c r="B10" s="72"/>
      <c r="C10" s="81" t="str">
        <f>'Stavební rozpočet'!C8</f>
        <v xml:space="preserve"> </v>
      </c>
      <c r="D10" s="72"/>
      <c r="E10" s="81" t="s">
        <v>539</v>
      </c>
      <c r="F10" s="81" t="str">
        <f>'Stavební rozpočet'!I8</f>
        <v>Ing. R. Matulová</v>
      </c>
      <c r="G10" s="72"/>
      <c r="H10" s="84" t="s">
        <v>632</v>
      </c>
      <c r="I10" s="82" t="str">
        <f>'Stavební rozpočet'!F8</f>
        <v>12.06.2018</v>
      </c>
      <c r="J10" s="33"/>
    </row>
    <row r="11" spans="1:10" x14ac:dyDescent="0.2">
      <c r="A11" s="85"/>
      <c r="B11" s="86"/>
      <c r="C11" s="86"/>
      <c r="D11" s="86"/>
      <c r="E11" s="86"/>
      <c r="F11" s="86"/>
      <c r="G11" s="86"/>
      <c r="H11" s="86"/>
      <c r="I11" s="83"/>
      <c r="J11" s="33"/>
    </row>
    <row r="12" spans="1:10" ht="23.45" customHeight="1" x14ac:dyDescent="0.2">
      <c r="A12" s="87" t="s">
        <v>592</v>
      </c>
      <c r="B12" s="88"/>
      <c r="C12" s="88"/>
      <c r="D12" s="88"/>
      <c r="E12" s="88"/>
      <c r="F12" s="88"/>
      <c r="G12" s="88"/>
      <c r="H12" s="88"/>
      <c r="I12" s="88"/>
    </row>
    <row r="13" spans="1:10" ht="26.45" customHeight="1" x14ac:dyDescent="0.2">
      <c r="A13" s="49" t="s">
        <v>593</v>
      </c>
      <c r="B13" s="89" t="s">
        <v>604</v>
      </c>
      <c r="C13" s="90"/>
      <c r="D13" s="49" t="s">
        <v>606</v>
      </c>
      <c r="E13" s="89" t="s">
        <v>615</v>
      </c>
      <c r="F13" s="90"/>
      <c r="G13" s="49" t="s">
        <v>616</v>
      </c>
      <c r="H13" s="89" t="s">
        <v>633</v>
      </c>
      <c r="I13" s="90"/>
      <c r="J13" s="33"/>
    </row>
    <row r="14" spans="1:10" ht="15.2" customHeight="1" x14ac:dyDescent="0.2">
      <c r="A14" s="50" t="s">
        <v>594</v>
      </c>
      <c r="B14" s="54" t="s">
        <v>605</v>
      </c>
      <c r="C14" s="58">
        <f>SUM('Stavební rozpočet'!R12:R354)</f>
        <v>0</v>
      </c>
      <c r="D14" s="91" t="s">
        <v>607</v>
      </c>
      <c r="E14" s="92"/>
      <c r="F14" s="58">
        <v>0</v>
      </c>
      <c r="G14" s="91" t="s">
        <v>617</v>
      </c>
      <c r="H14" s="92"/>
      <c r="I14" s="58">
        <v>0</v>
      </c>
      <c r="J14" s="33"/>
    </row>
    <row r="15" spans="1:10" ht="15.2" customHeight="1" x14ac:dyDescent="0.2">
      <c r="A15" s="51"/>
      <c r="B15" s="54" t="s">
        <v>540</v>
      </c>
      <c r="C15" s="58">
        <f>SUM('Stavební rozpočet'!S12:S354)</f>
        <v>0</v>
      </c>
      <c r="D15" s="91" t="s">
        <v>608</v>
      </c>
      <c r="E15" s="92"/>
      <c r="F15" s="58">
        <v>0</v>
      </c>
      <c r="G15" s="91" t="s">
        <v>618</v>
      </c>
      <c r="H15" s="92"/>
      <c r="I15" s="58">
        <v>0</v>
      </c>
      <c r="J15" s="33"/>
    </row>
    <row r="16" spans="1:10" ht="15.2" customHeight="1" x14ac:dyDescent="0.2">
      <c r="A16" s="50" t="s">
        <v>595</v>
      </c>
      <c r="B16" s="54" t="s">
        <v>605</v>
      </c>
      <c r="C16" s="58">
        <f>SUM('Stavební rozpočet'!T12:T354)</f>
        <v>0</v>
      </c>
      <c r="D16" s="91" t="s">
        <v>609</v>
      </c>
      <c r="E16" s="92"/>
      <c r="F16" s="58">
        <v>0</v>
      </c>
      <c r="G16" s="91" t="s">
        <v>619</v>
      </c>
      <c r="H16" s="92"/>
      <c r="I16" s="58">
        <v>0</v>
      </c>
      <c r="J16" s="33"/>
    </row>
    <row r="17" spans="1:10" ht="15.2" customHeight="1" x14ac:dyDescent="0.2">
      <c r="A17" s="51"/>
      <c r="B17" s="54" t="s">
        <v>540</v>
      </c>
      <c r="C17" s="58">
        <f>SUM('Stavební rozpočet'!U12:U354)</f>
        <v>0</v>
      </c>
      <c r="D17" s="91"/>
      <c r="E17" s="92"/>
      <c r="F17" s="59"/>
      <c r="G17" s="91" t="s">
        <v>620</v>
      </c>
      <c r="H17" s="92"/>
      <c r="I17" s="58">
        <v>0</v>
      </c>
      <c r="J17" s="33"/>
    </row>
    <row r="18" spans="1:10" ht="15.2" customHeight="1" x14ac:dyDescent="0.2">
      <c r="A18" s="50" t="s">
        <v>596</v>
      </c>
      <c r="B18" s="54" t="s">
        <v>605</v>
      </c>
      <c r="C18" s="58">
        <f>SUM('Stavební rozpočet'!V12:V354)</f>
        <v>0</v>
      </c>
      <c r="D18" s="91"/>
      <c r="E18" s="92"/>
      <c r="F18" s="59"/>
      <c r="G18" s="91" t="s">
        <v>621</v>
      </c>
      <c r="H18" s="92"/>
      <c r="I18" s="58">
        <v>0</v>
      </c>
      <c r="J18" s="33"/>
    </row>
    <row r="19" spans="1:10" ht="15.2" customHeight="1" x14ac:dyDescent="0.2">
      <c r="A19" s="51"/>
      <c r="B19" s="54" t="s">
        <v>540</v>
      </c>
      <c r="C19" s="58">
        <f>SUM('Stavební rozpočet'!W12:W354)</f>
        <v>0</v>
      </c>
      <c r="D19" s="91"/>
      <c r="E19" s="92"/>
      <c r="F19" s="59"/>
      <c r="G19" s="91" t="s">
        <v>622</v>
      </c>
      <c r="H19" s="92"/>
      <c r="I19" s="58">
        <v>0</v>
      </c>
      <c r="J19" s="33"/>
    </row>
    <row r="20" spans="1:10" ht="15.2" customHeight="1" x14ac:dyDescent="0.2">
      <c r="A20" s="93" t="s">
        <v>515</v>
      </c>
      <c r="B20" s="94"/>
      <c r="C20" s="58">
        <f>SUM('Stavební rozpočet'!X12:X354)</f>
        <v>0</v>
      </c>
      <c r="D20" s="91"/>
      <c r="E20" s="92"/>
      <c r="F20" s="59"/>
      <c r="G20" s="91"/>
      <c r="H20" s="92"/>
      <c r="I20" s="59"/>
      <c r="J20" s="33"/>
    </row>
    <row r="21" spans="1:10" ht="15.2" customHeight="1" x14ac:dyDescent="0.2">
      <c r="A21" s="93" t="s">
        <v>597</v>
      </c>
      <c r="B21" s="94"/>
      <c r="C21" s="58">
        <f>SUM('Stavební rozpočet'!P12:P354)</f>
        <v>0</v>
      </c>
      <c r="D21" s="91"/>
      <c r="E21" s="92"/>
      <c r="F21" s="59"/>
      <c r="G21" s="91"/>
      <c r="H21" s="92"/>
      <c r="I21" s="59"/>
      <c r="J21" s="33"/>
    </row>
    <row r="22" spans="1:10" ht="16.7" customHeight="1" x14ac:dyDescent="0.2">
      <c r="A22" s="93" t="s">
        <v>598</v>
      </c>
      <c r="B22" s="94"/>
      <c r="C22" s="58">
        <f>SUM(C14:C21)</f>
        <v>0</v>
      </c>
      <c r="D22" s="93" t="s">
        <v>610</v>
      </c>
      <c r="E22" s="94"/>
      <c r="F22" s="58">
        <f>SUM(F14:F21)</f>
        <v>0</v>
      </c>
      <c r="G22" s="93" t="s">
        <v>623</v>
      </c>
      <c r="H22" s="94"/>
      <c r="I22" s="58">
        <f>SUM(I14:I21)</f>
        <v>0</v>
      </c>
      <c r="J22" s="33"/>
    </row>
    <row r="23" spans="1:10" ht="15.2" customHeight="1" x14ac:dyDescent="0.2">
      <c r="A23" s="7"/>
      <c r="B23" s="7"/>
      <c r="C23" s="56"/>
      <c r="D23" s="93" t="s">
        <v>611</v>
      </c>
      <c r="E23" s="94"/>
      <c r="F23" s="60">
        <v>0</v>
      </c>
      <c r="G23" s="93" t="s">
        <v>624</v>
      </c>
      <c r="H23" s="94"/>
      <c r="I23" s="58">
        <v>0</v>
      </c>
      <c r="J23" s="33"/>
    </row>
    <row r="24" spans="1:10" ht="15.2" customHeight="1" x14ac:dyDescent="0.2">
      <c r="D24" s="7"/>
      <c r="E24" s="7"/>
      <c r="F24" s="61"/>
      <c r="G24" s="93" t="s">
        <v>625</v>
      </c>
      <c r="H24" s="94"/>
      <c r="I24" s="63"/>
    </row>
    <row r="25" spans="1:10" ht="15.2" customHeight="1" x14ac:dyDescent="0.2">
      <c r="F25" s="62"/>
      <c r="G25" s="93" t="s">
        <v>626</v>
      </c>
      <c r="H25" s="94"/>
      <c r="I25" s="58">
        <v>0</v>
      </c>
      <c r="J25" s="33"/>
    </row>
    <row r="26" spans="1:10" x14ac:dyDescent="0.2">
      <c r="A26" s="48"/>
      <c r="B26" s="48"/>
      <c r="C26" s="48"/>
      <c r="G26" s="7"/>
      <c r="H26" s="7"/>
      <c r="I26" s="7"/>
    </row>
    <row r="27" spans="1:10" ht="15.2" customHeight="1" x14ac:dyDescent="0.2">
      <c r="A27" s="95" t="s">
        <v>599</v>
      </c>
      <c r="B27" s="96"/>
      <c r="C27" s="64">
        <f>SUM('Stavební rozpočet'!Z12:Z354)</f>
        <v>0</v>
      </c>
      <c r="D27" s="57"/>
      <c r="E27" s="48"/>
      <c r="F27" s="48"/>
      <c r="G27" s="48"/>
      <c r="H27" s="48"/>
      <c r="I27" s="48"/>
    </row>
    <row r="28" spans="1:10" ht="15.2" customHeight="1" x14ac:dyDescent="0.2">
      <c r="A28" s="95" t="s">
        <v>600</v>
      </c>
      <c r="B28" s="96"/>
      <c r="C28" s="64">
        <f>SUM('Stavební rozpočet'!AA12:AA354)</f>
        <v>0</v>
      </c>
      <c r="D28" s="95" t="s">
        <v>612</v>
      </c>
      <c r="E28" s="96"/>
      <c r="F28" s="64">
        <f>ROUND(C28*(15/100),2)</f>
        <v>0</v>
      </c>
      <c r="G28" s="95" t="s">
        <v>627</v>
      </c>
      <c r="H28" s="96"/>
      <c r="I28" s="64">
        <f>SUM(C27:C29)</f>
        <v>0</v>
      </c>
      <c r="J28" s="33"/>
    </row>
    <row r="29" spans="1:10" ht="15.2" customHeight="1" x14ac:dyDescent="0.2">
      <c r="A29" s="95" t="s">
        <v>601</v>
      </c>
      <c r="B29" s="96"/>
      <c r="C29" s="64">
        <f>SUM('Stavební rozpočet'!AB12:AB354)+(F22+I22+F23+I23+I24+I25)</f>
        <v>0</v>
      </c>
      <c r="D29" s="95" t="s">
        <v>613</v>
      </c>
      <c r="E29" s="96"/>
      <c r="F29" s="64">
        <f>ROUND(C29*(21/100),2)</f>
        <v>0</v>
      </c>
      <c r="G29" s="95" t="s">
        <v>628</v>
      </c>
      <c r="H29" s="96"/>
      <c r="I29" s="64">
        <f>SUM(F28:F29)+I28</f>
        <v>0</v>
      </c>
      <c r="J29" s="33"/>
    </row>
    <row r="30" spans="1:10" x14ac:dyDescent="0.2">
      <c r="A30" s="52"/>
      <c r="B30" s="52"/>
      <c r="C30" s="52"/>
      <c r="D30" s="52"/>
      <c r="E30" s="52"/>
      <c r="F30" s="52"/>
      <c r="G30" s="52"/>
      <c r="H30" s="52"/>
      <c r="I30" s="52"/>
    </row>
    <row r="31" spans="1:10" ht="14.45" customHeight="1" x14ac:dyDescent="0.2">
      <c r="A31" s="97" t="s">
        <v>602</v>
      </c>
      <c r="B31" s="98"/>
      <c r="C31" s="99"/>
      <c r="D31" s="97" t="s">
        <v>614</v>
      </c>
      <c r="E31" s="98"/>
      <c r="F31" s="99"/>
      <c r="G31" s="97" t="s">
        <v>629</v>
      </c>
      <c r="H31" s="98"/>
      <c r="I31" s="99"/>
      <c r="J31" s="34"/>
    </row>
    <row r="32" spans="1:10" ht="14.45" customHeight="1" x14ac:dyDescent="0.2">
      <c r="A32" s="100"/>
      <c r="B32" s="101"/>
      <c r="C32" s="102"/>
      <c r="D32" s="100"/>
      <c r="E32" s="101"/>
      <c r="F32" s="102"/>
      <c r="G32" s="100"/>
      <c r="H32" s="101"/>
      <c r="I32" s="102"/>
      <c r="J32" s="34"/>
    </row>
    <row r="33" spans="1:10" ht="14.45" customHeight="1" x14ac:dyDescent="0.2">
      <c r="A33" s="100"/>
      <c r="B33" s="101"/>
      <c r="C33" s="102"/>
      <c r="D33" s="100"/>
      <c r="E33" s="101"/>
      <c r="F33" s="102"/>
      <c r="G33" s="100"/>
      <c r="H33" s="101"/>
      <c r="I33" s="102"/>
      <c r="J33" s="34"/>
    </row>
    <row r="34" spans="1:10" ht="14.45" customHeight="1" x14ac:dyDescent="0.2">
      <c r="A34" s="100"/>
      <c r="B34" s="101"/>
      <c r="C34" s="102"/>
      <c r="D34" s="100"/>
      <c r="E34" s="101"/>
      <c r="F34" s="102"/>
      <c r="G34" s="100"/>
      <c r="H34" s="101"/>
      <c r="I34" s="102"/>
      <c r="J34" s="34"/>
    </row>
    <row r="35" spans="1:10" ht="14.45" customHeight="1" x14ac:dyDescent="0.2">
      <c r="A35" s="103" t="s">
        <v>603</v>
      </c>
      <c r="B35" s="104"/>
      <c r="C35" s="105"/>
      <c r="D35" s="103" t="s">
        <v>603</v>
      </c>
      <c r="E35" s="104"/>
      <c r="F35" s="105"/>
      <c r="G35" s="103" t="s">
        <v>603</v>
      </c>
      <c r="H35" s="104"/>
      <c r="I35" s="105"/>
      <c r="J35" s="34"/>
    </row>
    <row r="36" spans="1:10" ht="11.25" customHeight="1" x14ac:dyDescent="0.2">
      <c r="A36" s="53" t="s">
        <v>130</v>
      </c>
      <c r="B36" s="55"/>
      <c r="C36" s="55"/>
      <c r="D36" s="55"/>
      <c r="E36" s="55"/>
      <c r="F36" s="55"/>
      <c r="G36" s="55"/>
      <c r="H36" s="55"/>
      <c r="I36" s="55"/>
    </row>
    <row r="37" spans="1:10" x14ac:dyDescent="0.2">
      <c r="A37" s="81"/>
      <c r="B37" s="72"/>
      <c r="C37" s="72"/>
      <c r="D37" s="72"/>
      <c r="E37" s="72"/>
      <c r="F37" s="72"/>
      <c r="G37" s="72"/>
      <c r="H37" s="72"/>
      <c r="I37" s="72"/>
    </row>
  </sheetData>
  <mergeCells count="83">
    <mergeCell ref="A37:I37"/>
    <mergeCell ref="A34:C34"/>
    <mergeCell ref="D34:F34"/>
    <mergeCell ref="G34:I34"/>
    <mergeCell ref="A35:C35"/>
    <mergeCell ref="D35:F35"/>
    <mergeCell ref="G35:I35"/>
    <mergeCell ref="A32:C32"/>
    <mergeCell ref="D32:F32"/>
    <mergeCell ref="G32:I32"/>
    <mergeCell ref="A33:C33"/>
    <mergeCell ref="D33:F33"/>
    <mergeCell ref="G33:I33"/>
    <mergeCell ref="A29:B29"/>
    <mergeCell ref="D29:E29"/>
    <mergeCell ref="G29:H29"/>
    <mergeCell ref="A31:C31"/>
    <mergeCell ref="D31:F31"/>
    <mergeCell ref="G31:I31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C1:I1"/>
    <mergeCell ref="A2:B3"/>
    <mergeCell ref="C2:D3"/>
    <mergeCell ref="E2:E3"/>
    <mergeCell ref="F2:G3"/>
    <mergeCell ref="H2:H3"/>
    <mergeCell ref="I2:I3"/>
  </mergeCells>
  <printOptions gridLines="1"/>
  <pageMargins left="0.39400000000000002" right="0.39400000000000002" top="0.59099999999999997" bottom="0.59099999999999997" header="0.5" footer="0.5"/>
  <pageSetup paperSize="9" scale="7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view="pageBreakPreview" zoomScale="60" zoomScaleNormal="100" workbookViewId="0">
      <pane ySplit="10" topLeftCell="A11" activePane="bottomLeft" state="frozenSplit"/>
      <selection pane="bottomLeft" activeCell="B38" sqref="B38"/>
    </sheetView>
  </sheetViews>
  <sheetFormatPr defaultColWidth="11.5703125" defaultRowHeight="12.75" x14ac:dyDescent="0.2"/>
  <cols>
    <col min="1" max="1" width="16.5703125" customWidth="1"/>
    <col min="2" max="2" width="41.7109375" customWidth="1"/>
    <col min="3" max="3" width="22.140625" customWidth="1"/>
    <col min="4" max="4" width="21" customWidth="1"/>
    <col min="5" max="5" width="20.85546875" customWidth="1"/>
    <col min="6" max="6" width="19.7109375" customWidth="1"/>
    <col min="7" max="8" width="0" hidden="1" customWidth="1"/>
  </cols>
  <sheetData>
    <row r="1" spans="1:8" ht="72.95" customHeight="1" x14ac:dyDescent="0.35">
      <c r="A1" s="106" t="s">
        <v>585</v>
      </c>
      <c r="B1" s="68"/>
      <c r="C1" s="68"/>
      <c r="D1" s="68"/>
      <c r="E1" s="68"/>
      <c r="F1" s="68"/>
    </row>
    <row r="2" spans="1:8" x14ac:dyDescent="0.2">
      <c r="A2" s="69" t="s">
        <v>1</v>
      </c>
      <c r="B2" s="73" t="str">
        <f>'Stavební rozpočet'!C2</f>
        <v>ZASTÁVKA JIHLAVSKÁ - KREMATORIUM, 2. ETAPA</v>
      </c>
      <c r="C2" s="74"/>
      <c r="D2" s="76" t="s">
        <v>536</v>
      </c>
      <c r="E2" s="76" t="str">
        <f>'Stavební rozpočet'!I2</f>
        <v>Brněnské komunikace, a.s.</v>
      </c>
      <c r="F2" s="107"/>
      <c r="G2" s="33"/>
    </row>
    <row r="3" spans="1:8" x14ac:dyDescent="0.2">
      <c r="A3" s="71"/>
      <c r="B3" s="75"/>
      <c r="C3" s="75"/>
      <c r="D3" s="72"/>
      <c r="E3" s="72"/>
      <c r="F3" s="78"/>
      <c r="G3" s="33"/>
    </row>
    <row r="4" spans="1:8" x14ac:dyDescent="0.2">
      <c r="A4" s="80" t="s">
        <v>2</v>
      </c>
      <c r="B4" s="81" t="str">
        <f>'Stavební rozpočet'!C4</f>
        <v xml:space="preserve"> </v>
      </c>
      <c r="C4" s="72"/>
      <c r="D4" s="81" t="s">
        <v>537</v>
      </c>
      <c r="E4" s="81" t="str">
        <f>'Stavební rozpočet'!I4</f>
        <v>Matula, PK, Šumavská 15, 602 00  Brno</v>
      </c>
      <c r="F4" s="78"/>
      <c r="G4" s="33"/>
    </row>
    <row r="5" spans="1:8" x14ac:dyDescent="0.2">
      <c r="A5" s="71"/>
      <c r="B5" s="72"/>
      <c r="C5" s="72"/>
      <c r="D5" s="72"/>
      <c r="E5" s="72"/>
      <c r="F5" s="78"/>
      <c r="G5" s="33"/>
    </row>
    <row r="6" spans="1:8" x14ac:dyDescent="0.2">
      <c r="A6" s="80" t="s">
        <v>3</v>
      </c>
      <c r="B6" s="81" t="str">
        <f>'Stavební rozpočet'!C6</f>
        <v>Brno - střed</v>
      </c>
      <c r="C6" s="72"/>
      <c r="D6" s="81" t="s">
        <v>538</v>
      </c>
      <c r="E6" s="81" t="str">
        <f>'Stavební rozpočet'!I6</f>
        <v xml:space="preserve"> </v>
      </c>
      <c r="F6" s="78"/>
      <c r="G6" s="33"/>
    </row>
    <row r="7" spans="1:8" x14ac:dyDescent="0.2">
      <c r="A7" s="71"/>
      <c r="B7" s="72"/>
      <c r="C7" s="72"/>
      <c r="D7" s="72"/>
      <c r="E7" s="72"/>
      <c r="F7" s="78"/>
      <c r="G7" s="33"/>
    </row>
    <row r="8" spans="1:8" x14ac:dyDescent="0.2">
      <c r="A8" s="80" t="s">
        <v>539</v>
      </c>
      <c r="B8" s="81" t="str">
        <f>'Stavební rozpočet'!I8</f>
        <v>Ing. R. Matulová</v>
      </c>
      <c r="C8" s="72"/>
      <c r="D8" s="84" t="s">
        <v>521</v>
      </c>
      <c r="E8" s="81" t="str">
        <f>'Stavební rozpočet'!F8</f>
        <v>12.06.2018</v>
      </c>
      <c r="F8" s="78"/>
      <c r="G8" s="33"/>
    </row>
    <row r="9" spans="1:8" x14ac:dyDescent="0.2">
      <c r="A9" s="108"/>
      <c r="B9" s="109"/>
      <c r="C9" s="109"/>
      <c r="D9" s="109"/>
      <c r="E9" s="109"/>
      <c r="F9" s="110"/>
      <c r="G9" s="33"/>
    </row>
    <row r="10" spans="1:8" x14ac:dyDescent="0.2">
      <c r="A10" s="40" t="s">
        <v>131</v>
      </c>
      <c r="B10" s="42" t="s">
        <v>586</v>
      </c>
      <c r="C10" s="43" t="s">
        <v>587</v>
      </c>
      <c r="D10" s="43" t="s">
        <v>588</v>
      </c>
      <c r="E10" s="43" t="s">
        <v>589</v>
      </c>
      <c r="F10" s="45" t="s">
        <v>590</v>
      </c>
      <c r="G10" s="34"/>
    </row>
    <row r="11" spans="1:8" x14ac:dyDescent="0.2">
      <c r="A11" s="41" t="s">
        <v>17</v>
      </c>
      <c r="B11" s="41" t="s">
        <v>262</v>
      </c>
      <c r="C11" s="46">
        <f>'Stavební rozpočet'!G12</f>
        <v>0</v>
      </c>
      <c r="D11" s="46">
        <f>'Stavební rozpočet'!H12</f>
        <v>0</v>
      </c>
      <c r="E11" s="46">
        <f t="shared" ref="E11:E29" si="0">C11+D11</f>
        <v>0</v>
      </c>
      <c r="F11" s="46">
        <f>'Stavební rozpočet'!K12</f>
        <v>230.69300000000004</v>
      </c>
      <c r="G11" s="35" t="s">
        <v>591</v>
      </c>
      <c r="H11" s="35">
        <f t="shared" ref="H11:H29" si="1">IF(G11="F",0,E11)</f>
        <v>0</v>
      </c>
    </row>
    <row r="12" spans="1:8" x14ac:dyDescent="0.2">
      <c r="A12" s="17" t="s">
        <v>18</v>
      </c>
      <c r="B12" s="17" t="s">
        <v>284</v>
      </c>
      <c r="C12" s="35">
        <f>'Stavební rozpočet'!G39</f>
        <v>0</v>
      </c>
      <c r="D12" s="35">
        <f>'Stavební rozpočet'!H39</f>
        <v>0</v>
      </c>
      <c r="E12" s="35">
        <f t="shared" si="0"/>
        <v>0</v>
      </c>
      <c r="F12" s="35">
        <f>'Stavební rozpočet'!K39</f>
        <v>20.399999999999999</v>
      </c>
      <c r="G12" s="35" t="s">
        <v>591</v>
      </c>
      <c r="H12" s="35">
        <f t="shared" si="1"/>
        <v>0</v>
      </c>
    </row>
    <row r="13" spans="1:8" x14ac:dyDescent="0.2">
      <c r="A13" s="17" t="s">
        <v>19</v>
      </c>
      <c r="B13" s="17" t="s">
        <v>297</v>
      </c>
      <c r="C13" s="35">
        <f>'Stavební rozpočet'!G52</f>
        <v>0</v>
      </c>
      <c r="D13" s="35">
        <f>'Stavební rozpočet'!H52</f>
        <v>0</v>
      </c>
      <c r="E13" s="35">
        <f t="shared" si="0"/>
        <v>0</v>
      </c>
      <c r="F13" s="35">
        <f>'Stavební rozpočet'!K52</f>
        <v>0</v>
      </c>
      <c r="G13" s="35" t="s">
        <v>591</v>
      </c>
      <c r="H13" s="35">
        <f t="shared" si="1"/>
        <v>0</v>
      </c>
    </row>
    <row r="14" spans="1:8" x14ac:dyDescent="0.2">
      <c r="A14" s="17" t="s">
        <v>22</v>
      </c>
      <c r="B14" s="17" t="s">
        <v>303</v>
      </c>
      <c r="C14" s="35">
        <f>'Stavební rozpočet'!G58</f>
        <v>0</v>
      </c>
      <c r="D14" s="35">
        <f>'Stavební rozpočet'!H58</f>
        <v>0</v>
      </c>
      <c r="E14" s="35">
        <f t="shared" si="0"/>
        <v>0</v>
      </c>
      <c r="F14" s="35">
        <f>'Stavební rozpočet'!K58</f>
        <v>0</v>
      </c>
      <c r="G14" s="35" t="s">
        <v>591</v>
      </c>
      <c r="H14" s="35">
        <f t="shared" si="1"/>
        <v>0</v>
      </c>
    </row>
    <row r="15" spans="1:8" x14ac:dyDescent="0.2">
      <c r="A15" s="17" t="s">
        <v>23</v>
      </c>
      <c r="B15" s="17" t="s">
        <v>312</v>
      </c>
      <c r="C15" s="35">
        <f>'Stavební rozpočet'!G69</f>
        <v>0</v>
      </c>
      <c r="D15" s="35">
        <f>'Stavební rozpočet'!H69</f>
        <v>0</v>
      </c>
      <c r="E15" s="35">
        <f t="shared" si="0"/>
        <v>0</v>
      </c>
      <c r="F15" s="35">
        <f>'Stavební rozpočet'!K69</f>
        <v>0</v>
      </c>
      <c r="G15" s="35" t="s">
        <v>591</v>
      </c>
      <c r="H15" s="35">
        <f t="shared" si="1"/>
        <v>0</v>
      </c>
    </row>
    <row r="16" spans="1:8" x14ac:dyDescent="0.2">
      <c r="A16" s="17" t="s">
        <v>24</v>
      </c>
      <c r="B16" s="17" t="s">
        <v>319</v>
      </c>
      <c r="C16" s="35">
        <f>'Stavební rozpočet'!G77</f>
        <v>0</v>
      </c>
      <c r="D16" s="35">
        <f>'Stavební rozpočet'!H77</f>
        <v>0</v>
      </c>
      <c r="E16" s="35">
        <f t="shared" si="0"/>
        <v>0</v>
      </c>
      <c r="F16" s="35">
        <f>'Stavební rozpočet'!K77</f>
        <v>0</v>
      </c>
      <c r="G16" s="35" t="s">
        <v>591</v>
      </c>
      <c r="H16" s="35">
        <f t="shared" si="1"/>
        <v>0</v>
      </c>
    </row>
    <row r="17" spans="1:8" x14ac:dyDescent="0.2">
      <c r="A17" s="17" t="s">
        <v>62</v>
      </c>
      <c r="B17" s="17" t="s">
        <v>328</v>
      </c>
      <c r="C17" s="35">
        <f>'Stavební rozpočet'!G86</f>
        <v>0</v>
      </c>
      <c r="D17" s="35">
        <f>'Stavební rozpočet'!H86</f>
        <v>0</v>
      </c>
      <c r="E17" s="35">
        <f t="shared" si="0"/>
        <v>0</v>
      </c>
      <c r="F17" s="35">
        <f>'Stavební rozpočet'!K86</f>
        <v>275.82170099999996</v>
      </c>
      <c r="G17" s="35" t="s">
        <v>591</v>
      </c>
      <c r="H17" s="35">
        <f t="shared" si="1"/>
        <v>0</v>
      </c>
    </row>
    <row r="18" spans="1:8" ht="25.5" x14ac:dyDescent="0.2">
      <c r="A18" s="17" t="s">
        <v>63</v>
      </c>
      <c r="B18" s="66" t="s">
        <v>340</v>
      </c>
      <c r="C18" s="35">
        <f>'Stavební rozpočet'!G99</f>
        <v>0</v>
      </c>
      <c r="D18" s="35">
        <f>'Stavební rozpočet'!H99</f>
        <v>0</v>
      </c>
      <c r="E18" s="35">
        <f t="shared" si="0"/>
        <v>0</v>
      </c>
      <c r="F18" s="35">
        <f>'Stavební rozpočet'!K99</f>
        <v>14.275088999999999</v>
      </c>
      <c r="G18" s="35" t="s">
        <v>591</v>
      </c>
      <c r="H18" s="35">
        <f t="shared" si="1"/>
        <v>0</v>
      </c>
    </row>
    <row r="19" spans="1:8" ht="25.5" x14ac:dyDescent="0.2">
      <c r="A19" s="17" t="s">
        <v>64</v>
      </c>
      <c r="B19" s="66" t="s">
        <v>349</v>
      </c>
      <c r="C19" s="35">
        <f>'Stavební rozpočet'!G109</f>
        <v>0</v>
      </c>
      <c r="D19" s="35">
        <f>'Stavební rozpočet'!H109</f>
        <v>0</v>
      </c>
      <c r="E19" s="35">
        <f t="shared" si="0"/>
        <v>0</v>
      </c>
      <c r="F19" s="35">
        <f>'Stavební rozpočet'!K109</f>
        <v>57.514650000000003</v>
      </c>
      <c r="G19" s="35" t="s">
        <v>591</v>
      </c>
      <c r="H19" s="35">
        <f t="shared" si="1"/>
        <v>0</v>
      </c>
    </row>
    <row r="20" spans="1:8" ht="25.5" x14ac:dyDescent="0.2">
      <c r="A20" s="17" t="s">
        <v>65</v>
      </c>
      <c r="B20" s="66" t="s">
        <v>353</v>
      </c>
      <c r="C20" s="35">
        <f>'Stavební rozpočet'!G114</f>
        <v>0</v>
      </c>
      <c r="D20" s="35">
        <f>'Stavební rozpočet'!H114</f>
        <v>0</v>
      </c>
      <c r="E20" s="35">
        <f t="shared" si="0"/>
        <v>0</v>
      </c>
      <c r="F20" s="35">
        <f>'Stavební rozpočet'!K114</f>
        <v>44.201340000000002</v>
      </c>
      <c r="G20" s="35" t="s">
        <v>591</v>
      </c>
      <c r="H20" s="35">
        <f t="shared" si="1"/>
        <v>0</v>
      </c>
    </row>
    <row r="21" spans="1:8" x14ac:dyDescent="0.2">
      <c r="A21" s="17" t="s">
        <v>180</v>
      </c>
      <c r="B21" s="66" t="s">
        <v>384</v>
      </c>
      <c r="C21" s="35">
        <f>'Stavební rozpočet'!G156</f>
        <v>0</v>
      </c>
      <c r="D21" s="35">
        <f>'Stavební rozpočet'!H156</f>
        <v>0</v>
      </c>
      <c r="E21" s="35">
        <f t="shared" si="0"/>
        <v>0</v>
      </c>
      <c r="F21" s="35">
        <f>'Stavební rozpočet'!K156</f>
        <v>0.31822000000000006</v>
      </c>
      <c r="G21" s="35" t="s">
        <v>591</v>
      </c>
      <c r="H21" s="35">
        <f t="shared" si="1"/>
        <v>0</v>
      </c>
    </row>
    <row r="22" spans="1:8" x14ac:dyDescent="0.2">
      <c r="A22" s="17" t="s">
        <v>89</v>
      </c>
      <c r="B22" s="66" t="s">
        <v>388</v>
      </c>
      <c r="C22" s="35">
        <f>'Stavební rozpočet'!G163</f>
        <v>0</v>
      </c>
      <c r="D22" s="35">
        <f>'Stavební rozpočet'!H163</f>
        <v>0</v>
      </c>
      <c r="E22" s="35">
        <f t="shared" si="0"/>
        <v>0</v>
      </c>
      <c r="F22" s="35">
        <f>'Stavební rozpočet'!K163</f>
        <v>0.18408000000000002</v>
      </c>
      <c r="G22" s="35" t="s">
        <v>591</v>
      </c>
      <c r="H22" s="35">
        <f t="shared" si="1"/>
        <v>0</v>
      </c>
    </row>
    <row r="23" spans="1:8" x14ac:dyDescent="0.2">
      <c r="A23" s="17" t="s">
        <v>91</v>
      </c>
      <c r="B23" s="66" t="s">
        <v>396</v>
      </c>
      <c r="C23" s="35">
        <f>'Stavební rozpočet'!G175</f>
        <v>0</v>
      </c>
      <c r="D23" s="35">
        <f>'Stavební rozpočet'!H175</f>
        <v>0</v>
      </c>
      <c r="E23" s="35">
        <f t="shared" si="0"/>
        <v>0</v>
      </c>
      <c r="F23" s="35">
        <f>'Stavební rozpočet'!K175</f>
        <v>0.31774639399999999</v>
      </c>
      <c r="G23" s="35" t="s">
        <v>591</v>
      </c>
      <c r="H23" s="35">
        <f t="shared" si="1"/>
        <v>0</v>
      </c>
    </row>
    <row r="24" spans="1:8" x14ac:dyDescent="0.2">
      <c r="A24" s="17" t="s">
        <v>95</v>
      </c>
      <c r="B24" s="66" t="s">
        <v>406</v>
      </c>
      <c r="C24" s="35">
        <f>'Stavební rozpočet'!G193</f>
        <v>0</v>
      </c>
      <c r="D24" s="35">
        <f>'Stavební rozpočet'!H193</f>
        <v>0</v>
      </c>
      <c r="E24" s="35">
        <f t="shared" si="0"/>
        <v>0</v>
      </c>
      <c r="F24" s="35">
        <f>'Stavební rozpočet'!K193</f>
        <v>2.4393400000000001</v>
      </c>
      <c r="G24" s="35" t="s">
        <v>591</v>
      </c>
      <c r="H24" s="35">
        <f t="shared" si="1"/>
        <v>0</v>
      </c>
    </row>
    <row r="25" spans="1:8" ht="25.5" x14ac:dyDescent="0.2">
      <c r="A25" s="17" t="s">
        <v>97</v>
      </c>
      <c r="B25" s="66" t="s">
        <v>438</v>
      </c>
      <c r="C25" s="35">
        <f>'Stavební rozpočet'!G246</f>
        <v>0</v>
      </c>
      <c r="D25" s="35">
        <f>'Stavební rozpočet'!H246</f>
        <v>0</v>
      </c>
      <c r="E25" s="35">
        <f t="shared" si="0"/>
        <v>0</v>
      </c>
      <c r="F25" s="35">
        <f>'Stavební rozpočet'!K246</f>
        <v>70.403834999999987</v>
      </c>
      <c r="G25" s="35" t="s">
        <v>591</v>
      </c>
      <c r="H25" s="35">
        <f t="shared" si="1"/>
        <v>0</v>
      </c>
    </row>
    <row r="26" spans="1:8" ht="25.5" x14ac:dyDescent="0.2">
      <c r="A26" s="17" t="s">
        <v>99</v>
      </c>
      <c r="B26" s="66" t="s">
        <v>490</v>
      </c>
      <c r="C26" s="35">
        <f>'Stavební rozpočet'!G322</f>
        <v>0</v>
      </c>
      <c r="D26" s="35">
        <f>'Stavební rozpočet'!H322</f>
        <v>0</v>
      </c>
      <c r="E26" s="35">
        <f t="shared" si="0"/>
        <v>0</v>
      </c>
      <c r="F26" s="35">
        <f>'Stavební rozpočet'!K322</f>
        <v>6.368E-2</v>
      </c>
      <c r="G26" s="35" t="s">
        <v>591</v>
      </c>
      <c r="H26" s="35">
        <f t="shared" si="1"/>
        <v>0</v>
      </c>
    </row>
    <row r="27" spans="1:8" x14ac:dyDescent="0.2">
      <c r="A27" s="17" t="s">
        <v>102</v>
      </c>
      <c r="B27" s="17" t="s">
        <v>493</v>
      </c>
      <c r="C27" s="35">
        <f>'Stavební rozpočet'!G325</f>
        <v>0</v>
      </c>
      <c r="D27" s="35">
        <f>'Stavební rozpočet'!H325</f>
        <v>0</v>
      </c>
      <c r="E27" s="35">
        <f t="shared" si="0"/>
        <v>0</v>
      </c>
      <c r="F27" s="35">
        <f>'Stavební rozpočet'!K325</f>
        <v>1.004</v>
      </c>
      <c r="G27" s="35" t="s">
        <v>591</v>
      </c>
      <c r="H27" s="35">
        <f t="shared" si="1"/>
        <v>0</v>
      </c>
    </row>
    <row r="28" spans="1:8" x14ac:dyDescent="0.2">
      <c r="A28" s="17" t="s">
        <v>246</v>
      </c>
      <c r="B28" s="17" t="s">
        <v>499</v>
      </c>
      <c r="C28" s="35">
        <f>'Stavební rozpočet'!G335</f>
        <v>0</v>
      </c>
      <c r="D28" s="35">
        <f>'Stavební rozpočet'!H335</f>
        <v>0</v>
      </c>
      <c r="E28" s="35">
        <f t="shared" si="0"/>
        <v>0</v>
      </c>
      <c r="F28" s="35">
        <f>'Stavební rozpočet'!K335</f>
        <v>0</v>
      </c>
      <c r="G28" s="35" t="s">
        <v>591</v>
      </c>
      <c r="H28" s="35">
        <f t="shared" si="1"/>
        <v>0</v>
      </c>
    </row>
    <row r="29" spans="1:8" x14ac:dyDescent="0.2">
      <c r="A29" s="17"/>
      <c r="B29" s="17" t="s">
        <v>515</v>
      </c>
      <c r="C29" s="35">
        <f>'Stavební rozpočet'!G351</f>
        <v>0</v>
      </c>
      <c r="D29" s="35">
        <f>'Stavební rozpočet'!H351</f>
        <v>0</v>
      </c>
      <c r="E29" s="35">
        <f t="shared" si="0"/>
        <v>0</v>
      </c>
      <c r="F29" s="35">
        <f>'Stavební rozpočet'!K351</f>
        <v>0</v>
      </c>
      <c r="G29" s="35" t="s">
        <v>591</v>
      </c>
      <c r="H29" s="35">
        <f t="shared" si="1"/>
        <v>0</v>
      </c>
    </row>
    <row r="30" spans="1:8" x14ac:dyDescent="0.2">
      <c r="B30" t="s">
        <v>639</v>
      </c>
      <c r="C30" s="35">
        <f>'Stavební rozpočet'!G352</f>
        <v>0</v>
      </c>
      <c r="D30" s="35">
        <f>'Stavební rozpočet'!H352</f>
        <v>0</v>
      </c>
      <c r="E30" s="35">
        <f t="shared" ref="E30" si="2">C30+D30</f>
        <v>0</v>
      </c>
      <c r="F30" s="35">
        <f>'Stavební rozpočet'!K352</f>
        <v>0</v>
      </c>
    </row>
    <row r="31" spans="1:8" x14ac:dyDescent="0.2">
      <c r="D31" s="44" t="s">
        <v>535</v>
      </c>
      <c r="E31" s="47">
        <f>SUM(H11:H29)</f>
        <v>0</v>
      </c>
    </row>
  </sheetData>
  <mergeCells count="17">
    <mergeCell ref="A6:A7"/>
    <mergeCell ref="B6:C7"/>
    <mergeCell ref="D6:D7"/>
    <mergeCell ref="E6:F7"/>
    <mergeCell ref="A8:A9"/>
    <mergeCell ref="B8:C9"/>
    <mergeCell ref="D8:D9"/>
    <mergeCell ref="E8:F9"/>
    <mergeCell ref="A4:A5"/>
    <mergeCell ref="B4:C5"/>
    <mergeCell ref="D4:D5"/>
    <mergeCell ref="E4:F5"/>
    <mergeCell ref="A1:F1"/>
    <mergeCell ref="A2:A3"/>
    <mergeCell ref="B2:C3"/>
    <mergeCell ref="D2:D3"/>
    <mergeCell ref="E2:F3"/>
  </mergeCells>
  <printOptions gridLines="1"/>
  <pageMargins left="0.39400000000000002" right="0.39400000000000002" top="0.59099999999999997" bottom="0.59099999999999997" header="0.5" footer="0.5"/>
  <pageSetup paperSize="9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59"/>
  <sheetViews>
    <sheetView view="pageBreakPreview" zoomScaleNormal="100" zoomScaleSheetLayoutView="100" workbookViewId="0">
      <pane ySplit="11" topLeftCell="A336" activePane="bottomLeft" state="frozenSplit"/>
      <selection pane="bottomLeft" activeCell="C356" sqref="C356"/>
    </sheetView>
  </sheetViews>
  <sheetFormatPr defaultColWidth="11.5703125" defaultRowHeight="12.75" x14ac:dyDescent="0.2"/>
  <cols>
    <col min="1" max="1" width="3.7109375" customWidth="1"/>
    <col min="2" max="2" width="13.28515625" customWidth="1"/>
    <col min="3" max="3" width="51.7109375" customWidth="1"/>
    <col min="4" max="4" width="4.85546875" customWidth="1"/>
    <col min="5" max="5" width="12.85546875" customWidth="1"/>
    <col min="6" max="6" width="12" customWidth="1"/>
    <col min="7" max="9" width="14.28515625" customWidth="1"/>
    <col min="10" max="11" width="11.7109375" customWidth="1"/>
    <col min="12" max="12" width="11.140625" customWidth="1"/>
    <col min="14" max="48" width="12.140625" hidden="1" customWidth="1"/>
  </cols>
  <sheetData>
    <row r="1" spans="1:48" ht="72.95" customHeight="1" x14ac:dyDescent="0.35">
      <c r="A1" s="106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48" x14ac:dyDescent="0.2">
      <c r="A2" s="69" t="s">
        <v>1</v>
      </c>
      <c r="B2" s="70"/>
      <c r="C2" s="73" t="s">
        <v>258</v>
      </c>
      <c r="D2" s="111" t="s">
        <v>518</v>
      </c>
      <c r="E2" s="70"/>
      <c r="F2" s="111" t="s">
        <v>6</v>
      </c>
      <c r="G2" s="70"/>
      <c r="H2" s="76" t="s">
        <v>536</v>
      </c>
      <c r="I2" s="76" t="s">
        <v>541</v>
      </c>
      <c r="J2" s="70"/>
      <c r="K2" s="70"/>
      <c r="L2" s="107"/>
      <c r="M2" s="33"/>
    </row>
    <row r="3" spans="1:48" x14ac:dyDescent="0.2">
      <c r="A3" s="71"/>
      <c r="B3" s="72"/>
      <c r="C3" s="75"/>
      <c r="D3" s="72"/>
      <c r="E3" s="72"/>
      <c r="F3" s="72"/>
      <c r="G3" s="72"/>
      <c r="H3" s="72"/>
      <c r="I3" s="72"/>
      <c r="J3" s="72"/>
      <c r="K3" s="72"/>
      <c r="L3" s="78"/>
      <c r="M3" s="33"/>
    </row>
    <row r="4" spans="1:48" x14ac:dyDescent="0.2">
      <c r="A4" s="80" t="s">
        <v>2</v>
      </c>
      <c r="B4" s="72"/>
      <c r="C4" s="81" t="s">
        <v>6</v>
      </c>
      <c r="D4" s="84" t="s">
        <v>519</v>
      </c>
      <c r="E4" s="72"/>
      <c r="F4" s="84" t="s">
        <v>6</v>
      </c>
      <c r="G4" s="72"/>
      <c r="H4" s="81" t="s">
        <v>537</v>
      </c>
      <c r="I4" s="81" t="s">
        <v>542</v>
      </c>
      <c r="J4" s="72"/>
      <c r="K4" s="72"/>
      <c r="L4" s="78"/>
      <c r="M4" s="33"/>
    </row>
    <row r="5" spans="1:48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8"/>
      <c r="M5" s="33"/>
    </row>
    <row r="6" spans="1:48" x14ac:dyDescent="0.2">
      <c r="A6" s="80" t="s">
        <v>3</v>
      </c>
      <c r="B6" s="72"/>
      <c r="C6" s="81" t="s">
        <v>259</v>
      </c>
      <c r="D6" s="84" t="s">
        <v>520</v>
      </c>
      <c r="E6" s="72"/>
      <c r="F6" s="84" t="s">
        <v>6</v>
      </c>
      <c r="G6" s="72"/>
      <c r="H6" s="81" t="s">
        <v>538</v>
      </c>
      <c r="I6" s="81" t="s">
        <v>6</v>
      </c>
      <c r="J6" s="72"/>
      <c r="K6" s="72"/>
      <c r="L6" s="78"/>
      <c r="M6" s="33"/>
    </row>
    <row r="7" spans="1:48" x14ac:dyDescent="0.2">
      <c r="A7" s="71"/>
      <c r="B7" s="72"/>
      <c r="C7" s="72"/>
      <c r="D7" s="72"/>
      <c r="E7" s="72"/>
      <c r="F7" s="72"/>
      <c r="G7" s="72"/>
      <c r="H7" s="72"/>
      <c r="I7" s="72"/>
      <c r="J7" s="72"/>
      <c r="K7" s="72"/>
      <c r="L7" s="78"/>
      <c r="M7" s="33"/>
    </row>
    <row r="8" spans="1:48" x14ac:dyDescent="0.2">
      <c r="A8" s="80" t="s">
        <v>4</v>
      </c>
      <c r="B8" s="72"/>
      <c r="C8" s="81" t="s">
        <v>6</v>
      </c>
      <c r="D8" s="84" t="s">
        <v>521</v>
      </c>
      <c r="E8" s="72"/>
      <c r="F8" s="84" t="s">
        <v>530</v>
      </c>
      <c r="G8" s="72"/>
      <c r="H8" s="81" t="s">
        <v>539</v>
      </c>
      <c r="I8" s="81" t="s">
        <v>543</v>
      </c>
      <c r="J8" s="72"/>
      <c r="K8" s="72"/>
      <c r="L8" s="78"/>
      <c r="M8" s="33"/>
    </row>
    <row r="9" spans="1:48" x14ac:dyDescent="0.2">
      <c r="A9" s="108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10"/>
      <c r="M9" s="33"/>
    </row>
    <row r="10" spans="1:48" x14ac:dyDescent="0.2">
      <c r="A10" s="1" t="s">
        <v>5</v>
      </c>
      <c r="B10" s="9" t="s">
        <v>131</v>
      </c>
      <c r="C10" s="9" t="s">
        <v>260</v>
      </c>
      <c r="D10" s="9" t="s">
        <v>522</v>
      </c>
      <c r="E10" s="18" t="s">
        <v>529</v>
      </c>
      <c r="F10" s="22" t="s">
        <v>531</v>
      </c>
      <c r="G10" s="114" t="s">
        <v>533</v>
      </c>
      <c r="H10" s="115"/>
      <c r="I10" s="116"/>
      <c r="J10" s="114" t="s">
        <v>545</v>
      </c>
      <c r="K10" s="116"/>
      <c r="L10" s="29" t="s">
        <v>546</v>
      </c>
      <c r="M10" s="34"/>
    </row>
    <row r="11" spans="1:48" x14ac:dyDescent="0.2">
      <c r="A11" s="2" t="s">
        <v>6</v>
      </c>
      <c r="B11" s="10" t="s">
        <v>6</v>
      </c>
      <c r="C11" s="14" t="s">
        <v>261</v>
      </c>
      <c r="D11" s="10" t="s">
        <v>6</v>
      </c>
      <c r="E11" s="10" t="s">
        <v>6</v>
      </c>
      <c r="F11" s="23" t="s">
        <v>532</v>
      </c>
      <c r="G11" s="24" t="s">
        <v>534</v>
      </c>
      <c r="H11" s="25" t="s">
        <v>540</v>
      </c>
      <c r="I11" s="26" t="s">
        <v>544</v>
      </c>
      <c r="J11" s="24" t="s">
        <v>531</v>
      </c>
      <c r="K11" s="26" t="s">
        <v>544</v>
      </c>
      <c r="L11" s="30" t="s">
        <v>547</v>
      </c>
      <c r="M11" s="34"/>
      <c r="P11" s="28" t="s">
        <v>549</v>
      </c>
      <c r="Q11" s="28" t="s">
        <v>550</v>
      </c>
      <c r="R11" s="28" t="s">
        <v>551</v>
      </c>
      <c r="S11" s="28" t="s">
        <v>552</v>
      </c>
      <c r="T11" s="28" t="s">
        <v>553</v>
      </c>
      <c r="U11" s="28" t="s">
        <v>554</v>
      </c>
      <c r="V11" s="28" t="s">
        <v>555</v>
      </c>
      <c r="W11" s="28" t="s">
        <v>556</v>
      </c>
      <c r="X11" s="28" t="s">
        <v>557</v>
      </c>
    </row>
    <row r="12" spans="1:48" x14ac:dyDescent="0.2">
      <c r="A12" s="3"/>
      <c r="B12" s="11" t="s">
        <v>17</v>
      </c>
      <c r="C12" s="11" t="s">
        <v>262</v>
      </c>
      <c r="D12" s="3" t="s">
        <v>6</v>
      </c>
      <c r="E12" s="3" t="s">
        <v>6</v>
      </c>
      <c r="F12" s="3" t="s">
        <v>6</v>
      </c>
      <c r="G12" s="37">
        <f>SUM(G13:G37)</f>
        <v>0</v>
      </c>
      <c r="H12" s="37">
        <f>SUM(H13:H37)</f>
        <v>0</v>
      </c>
      <c r="I12" s="37">
        <f>G12+H12</f>
        <v>0</v>
      </c>
      <c r="J12" s="27"/>
      <c r="K12" s="37">
        <f>SUM(K13:K37)</f>
        <v>230.69300000000004</v>
      </c>
      <c r="L12" s="27"/>
      <c r="Y12" s="28"/>
      <c r="AI12" s="38">
        <f>SUM(Z13:Z37)</f>
        <v>0</v>
      </c>
      <c r="AJ12" s="38">
        <f>SUM(AA13:AA37)</f>
        <v>0</v>
      </c>
      <c r="AK12" s="38">
        <f>SUM(AB13:AB37)</f>
        <v>0</v>
      </c>
    </row>
    <row r="13" spans="1:48" x14ac:dyDescent="0.2">
      <c r="A13" s="4" t="s">
        <v>7</v>
      </c>
      <c r="B13" s="4" t="s">
        <v>132</v>
      </c>
      <c r="C13" s="4" t="s">
        <v>263</v>
      </c>
      <c r="D13" s="4" t="s">
        <v>523</v>
      </c>
      <c r="E13" s="19">
        <v>82</v>
      </c>
      <c r="F13" s="19">
        <v>0</v>
      </c>
      <c r="G13" s="19">
        <f>E13*AE13</f>
        <v>0</v>
      </c>
      <c r="H13" s="19">
        <f>I13-G13</f>
        <v>0</v>
      </c>
      <c r="I13" s="19">
        <f>E13*F13</f>
        <v>0</v>
      </c>
      <c r="J13" s="19">
        <v>0</v>
      </c>
      <c r="K13" s="19">
        <f>E13*J13</f>
        <v>0</v>
      </c>
      <c r="L13" s="31" t="s">
        <v>548</v>
      </c>
      <c r="P13" s="35">
        <f>IF(AG13="5",I13,0)</f>
        <v>0</v>
      </c>
      <c r="R13" s="35">
        <f>IF(AG13="1",G13,0)</f>
        <v>0</v>
      </c>
      <c r="S13" s="35">
        <f>IF(AG13="1",H13,0)</f>
        <v>0</v>
      </c>
      <c r="T13" s="35">
        <f>IF(AG13="7",G13,0)</f>
        <v>0</v>
      </c>
      <c r="U13" s="35">
        <f>IF(AG13="7",H13,0)</f>
        <v>0</v>
      </c>
      <c r="V13" s="35">
        <f>IF(AG13="2",G13,0)</f>
        <v>0</v>
      </c>
      <c r="W13" s="35">
        <f>IF(AG13="2",H13,0)</f>
        <v>0</v>
      </c>
      <c r="X13" s="35">
        <f>IF(AG13="0",I13,0)</f>
        <v>0</v>
      </c>
      <c r="Y13" s="28"/>
      <c r="Z13" s="19">
        <f>IF(AD13=0,I13,0)</f>
        <v>0</v>
      </c>
      <c r="AA13" s="19">
        <f>IF(AD13=15,I13,0)</f>
        <v>0</v>
      </c>
      <c r="AB13" s="19">
        <f>IF(AD13=21,I13,0)</f>
        <v>0</v>
      </c>
      <c r="AD13" s="35">
        <v>21</v>
      </c>
      <c r="AE13" s="35">
        <f>F13*0</f>
        <v>0</v>
      </c>
      <c r="AF13" s="35">
        <f>F13*(1-0)</f>
        <v>0</v>
      </c>
      <c r="AG13" s="31" t="s">
        <v>7</v>
      </c>
      <c r="AM13" s="35">
        <f>E13*AE13</f>
        <v>0</v>
      </c>
      <c r="AN13" s="35">
        <f>E13*AF13</f>
        <v>0</v>
      </c>
      <c r="AO13" s="36" t="s">
        <v>559</v>
      </c>
      <c r="AP13" s="36" t="s">
        <v>578</v>
      </c>
      <c r="AQ13" s="28" t="s">
        <v>584</v>
      </c>
      <c r="AS13" s="35">
        <f>AM13+AN13</f>
        <v>0</v>
      </c>
      <c r="AT13" s="35">
        <f>F13/(100-AU13)*100</f>
        <v>0</v>
      </c>
      <c r="AU13" s="35">
        <v>0</v>
      </c>
      <c r="AV13" s="35">
        <f>K13</f>
        <v>0</v>
      </c>
    </row>
    <row r="14" spans="1:48" x14ac:dyDescent="0.2">
      <c r="C14" s="15" t="s">
        <v>88</v>
      </c>
      <c r="E14" s="20">
        <v>82</v>
      </c>
    </row>
    <row r="15" spans="1:48" ht="25.7" customHeight="1" x14ac:dyDescent="0.2">
      <c r="B15" s="12" t="s">
        <v>133</v>
      </c>
      <c r="C15" s="112" t="s">
        <v>264</v>
      </c>
      <c r="D15" s="113"/>
      <c r="E15" s="113"/>
      <c r="F15" s="113"/>
      <c r="G15" s="113"/>
      <c r="H15" s="113"/>
      <c r="I15" s="113"/>
      <c r="J15" s="113"/>
      <c r="K15" s="113"/>
      <c r="L15" s="113"/>
    </row>
    <row r="16" spans="1:48" x14ac:dyDescent="0.2">
      <c r="A16" s="4" t="s">
        <v>8</v>
      </c>
      <c r="B16" s="4" t="s">
        <v>134</v>
      </c>
      <c r="C16" s="4" t="s">
        <v>265</v>
      </c>
      <c r="D16" s="4" t="s">
        <v>523</v>
      </c>
      <c r="E16" s="19">
        <v>12</v>
      </c>
      <c r="F16" s="19">
        <v>0</v>
      </c>
      <c r="G16" s="19">
        <f>E16*AE16</f>
        <v>0</v>
      </c>
      <c r="H16" s="19">
        <f>I16-G16</f>
        <v>0</v>
      </c>
      <c r="I16" s="19">
        <f>E16*F16</f>
        <v>0</v>
      </c>
      <c r="J16" s="19">
        <v>0.33</v>
      </c>
      <c r="K16" s="19">
        <f>E16*J16</f>
        <v>3.96</v>
      </c>
      <c r="L16" s="31" t="s">
        <v>548</v>
      </c>
      <c r="P16" s="35">
        <f>IF(AG16="5",I16,0)</f>
        <v>0</v>
      </c>
      <c r="R16" s="35">
        <f>IF(AG16="1",G16,0)</f>
        <v>0</v>
      </c>
      <c r="S16" s="35">
        <f>IF(AG16="1",H16,0)</f>
        <v>0</v>
      </c>
      <c r="T16" s="35">
        <f>IF(AG16="7",G16,0)</f>
        <v>0</v>
      </c>
      <c r="U16" s="35">
        <f>IF(AG16="7",H16,0)</f>
        <v>0</v>
      </c>
      <c r="V16" s="35">
        <f>IF(AG16="2",G16,0)</f>
        <v>0</v>
      </c>
      <c r="W16" s="35">
        <f>IF(AG16="2",H16,0)</f>
        <v>0</v>
      </c>
      <c r="X16" s="35">
        <f>IF(AG16="0",I16,0)</f>
        <v>0</v>
      </c>
      <c r="Y16" s="28"/>
      <c r="Z16" s="19">
        <f>IF(AD16=0,I16,0)</f>
        <v>0</v>
      </c>
      <c r="AA16" s="19">
        <f>IF(AD16=15,I16,0)</f>
        <v>0</v>
      </c>
      <c r="AB16" s="19">
        <f>IF(AD16=21,I16,0)</f>
        <v>0</v>
      </c>
      <c r="AD16" s="35">
        <v>21</v>
      </c>
      <c r="AE16" s="35">
        <f>F16*0</f>
        <v>0</v>
      </c>
      <c r="AF16" s="35">
        <f>F16*(1-0)</f>
        <v>0</v>
      </c>
      <c r="AG16" s="31" t="s">
        <v>7</v>
      </c>
      <c r="AM16" s="35">
        <f>E16*AE16</f>
        <v>0</v>
      </c>
      <c r="AN16" s="35">
        <f>E16*AF16</f>
        <v>0</v>
      </c>
      <c r="AO16" s="36" t="s">
        <v>559</v>
      </c>
      <c r="AP16" s="36" t="s">
        <v>578</v>
      </c>
      <c r="AQ16" s="28" t="s">
        <v>584</v>
      </c>
      <c r="AS16" s="35">
        <f>AM16+AN16</f>
        <v>0</v>
      </c>
      <c r="AT16" s="35">
        <f>F16/(100-AU16)*100</f>
        <v>0</v>
      </c>
      <c r="AU16" s="35">
        <v>0</v>
      </c>
      <c r="AV16" s="35">
        <f>K16</f>
        <v>3.96</v>
      </c>
    </row>
    <row r="17" spans="1:48" x14ac:dyDescent="0.2">
      <c r="C17" s="15" t="s">
        <v>18</v>
      </c>
      <c r="E17" s="20">
        <v>12</v>
      </c>
    </row>
    <row r="18" spans="1:48" x14ac:dyDescent="0.2">
      <c r="A18" s="4" t="s">
        <v>9</v>
      </c>
      <c r="B18" s="4" t="s">
        <v>135</v>
      </c>
      <c r="C18" s="4" t="s">
        <v>266</v>
      </c>
      <c r="D18" s="4" t="s">
        <v>523</v>
      </c>
      <c r="E18" s="19">
        <v>354.4</v>
      </c>
      <c r="F18" s="19">
        <v>0</v>
      </c>
      <c r="G18" s="19">
        <f>E18*AE18</f>
        <v>0</v>
      </c>
      <c r="H18" s="19">
        <f>I18-G18</f>
        <v>0</v>
      </c>
      <c r="I18" s="19">
        <f>E18*F18</f>
        <v>0</v>
      </c>
      <c r="J18" s="19">
        <v>0.11</v>
      </c>
      <c r="K18" s="19">
        <f>E18*J18</f>
        <v>38.983999999999995</v>
      </c>
      <c r="L18" s="31" t="s">
        <v>548</v>
      </c>
      <c r="P18" s="35">
        <f>IF(AG18="5",I18,0)</f>
        <v>0</v>
      </c>
      <c r="R18" s="35">
        <f>IF(AG18="1",G18,0)</f>
        <v>0</v>
      </c>
      <c r="S18" s="35">
        <f>IF(AG18="1",H18,0)</f>
        <v>0</v>
      </c>
      <c r="T18" s="35">
        <f>IF(AG18="7",G18,0)</f>
        <v>0</v>
      </c>
      <c r="U18" s="35">
        <f>IF(AG18="7",H18,0)</f>
        <v>0</v>
      </c>
      <c r="V18" s="35">
        <f>IF(AG18="2",G18,0)</f>
        <v>0</v>
      </c>
      <c r="W18" s="35">
        <f>IF(AG18="2",H18,0)</f>
        <v>0</v>
      </c>
      <c r="X18" s="35">
        <f>IF(AG18="0",I18,0)</f>
        <v>0</v>
      </c>
      <c r="Y18" s="28"/>
      <c r="Z18" s="19">
        <f>IF(AD18=0,I18,0)</f>
        <v>0</v>
      </c>
      <c r="AA18" s="19">
        <f>IF(AD18=15,I18,0)</f>
        <v>0</v>
      </c>
      <c r="AB18" s="19">
        <f>IF(AD18=21,I18,0)</f>
        <v>0</v>
      </c>
      <c r="AD18" s="35">
        <v>21</v>
      </c>
      <c r="AE18" s="35">
        <f>F18*0</f>
        <v>0</v>
      </c>
      <c r="AF18" s="35">
        <f>F18*(1-0)</f>
        <v>0</v>
      </c>
      <c r="AG18" s="31" t="s">
        <v>7</v>
      </c>
      <c r="AM18" s="35">
        <f>E18*AE18</f>
        <v>0</v>
      </c>
      <c r="AN18" s="35">
        <f>E18*AF18</f>
        <v>0</v>
      </c>
      <c r="AO18" s="36" t="s">
        <v>559</v>
      </c>
      <c r="AP18" s="36" t="s">
        <v>578</v>
      </c>
      <c r="AQ18" s="28" t="s">
        <v>584</v>
      </c>
      <c r="AS18" s="35">
        <f>AM18+AN18</f>
        <v>0</v>
      </c>
      <c r="AT18" s="35">
        <f>F18/(100-AU18)*100</f>
        <v>0</v>
      </c>
      <c r="AU18" s="35">
        <v>0</v>
      </c>
      <c r="AV18" s="35">
        <f>K18</f>
        <v>38.983999999999995</v>
      </c>
    </row>
    <row r="19" spans="1:48" x14ac:dyDescent="0.2">
      <c r="C19" s="15" t="s">
        <v>267</v>
      </c>
      <c r="E19" s="20">
        <v>82.4</v>
      </c>
    </row>
    <row r="20" spans="1:48" x14ac:dyDescent="0.2">
      <c r="C20" s="15" t="s">
        <v>268</v>
      </c>
      <c r="E20" s="20">
        <v>24</v>
      </c>
    </row>
    <row r="21" spans="1:48" x14ac:dyDescent="0.2">
      <c r="C21" s="15" t="s">
        <v>269</v>
      </c>
      <c r="E21" s="20">
        <v>48</v>
      </c>
    </row>
    <row r="22" spans="1:48" x14ac:dyDescent="0.2">
      <c r="C22" s="15" t="s">
        <v>270</v>
      </c>
      <c r="E22" s="20">
        <v>200</v>
      </c>
    </row>
    <row r="23" spans="1:48" ht="25.7" customHeight="1" x14ac:dyDescent="0.2">
      <c r="B23" s="12" t="s">
        <v>133</v>
      </c>
      <c r="C23" s="112" t="s">
        <v>271</v>
      </c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48" x14ac:dyDescent="0.2">
      <c r="A24" s="4" t="s">
        <v>10</v>
      </c>
      <c r="B24" s="4" t="s">
        <v>136</v>
      </c>
      <c r="C24" s="4" t="s">
        <v>272</v>
      </c>
      <c r="D24" s="4" t="s">
        <v>523</v>
      </c>
      <c r="E24" s="19">
        <v>56.6</v>
      </c>
      <c r="F24" s="19">
        <v>0</v>
      </c>
      <c r="G24" s="19">
        <f>E24*AE24</f>
        <v>0</v>
      </c>
      <c r="H24" s="19">
        <f>I24-G24</f>
        <v>0</v>
      </c>
      <c r="I24" s="19">
        <f>E24*F24</f>
        <v>0</v>
      </c>
      <c r="J24" s="19">
        <v>0.22</v>
      </c>
      <c r="K24" s="19">
        <f>E24*J24</f>
        <v>12.452</v>
      </c>
      <c r="L24" s="31" t="s">
        <v>548</v>
      </c>
      <c r="P24" s="35">
        <f>IF(AG24="5",I24,0)</f>
        <v>0</v>
      </c>
      <c r="R24" s="35">
        <f>IF(AG24="1",G24,0)</f>
        <v>0</v>
      </c>
      <c r="S24" s="35">
        <f>IF(AG24="1",H24,0)</f>
        <v>0</v>
      </c>
      <c r="T24" s="35">
        <f>IF(AG24="7",G24,0)</f>
        <v>0</v>
      </c>
      <c r="U24" s="35">
        <f>IF(AG24="7",H24,0)</f>
        <v>0</v>
      </c>
      <c r="V24" s="35">
        <f>IF(AG24="2",G24,0)</f>
        <v>0</v>
      </c>
      <c r="W24" s="35">
        <f>IF(AG24="2",H24,0)</f>
        <v>0</v>
      </c>
      <c r="X24" s="35">
        <f>IF(AG24="0",I24,0)</f>
        <v>0</v>
      </c>
      <c r="Y24" s="28"/>
      <c r="Z24" s="19">
        <f>IF(AD24=0,I24,0)</f>
        <v>0</v>
      </c>
      <c r="AA24" s="19">
        <f>IF(AD24=15,I24,0)</f>
        <v>0</v>
      </c>
      <c r="AB24" s="19">
        <f>IF(AD24=21,I24,0)</f>
        <v>0</v>
      </c>
      <c r="AD24" s="35">
        <v>21</v>
      </c>
      <c r="AE24" s="35">
        <f>F24*0</f>
        <v>0</v>
      </c>
      <c r="AF24" s="35">
        <f>F24*(1-0)</f>
        <v>0</v>
      </c>
      <c r="AG24" s="31" t="s">
        <v>7</v>
      </c>
      <c r="AM24" s="35">
        <f>E24*AE24</f>
        <v>0</v>
      </c>
      <c r="AN24" s="35">
        <f>E24*AF24</f>
        <v>0</v>
      </c>
      <c r="AO24" s="36" t="s">
        <v>559</v>
      </c>
      <c r="AP24" s="36" t="s">
        <v>578</v>
      </c>
      <c r="AQ24" s="28" t="s">
        <v>584</v>
      </c>
      <c r="AS24" s="35">
        <f>AM24+AN24</f>
        <v>0</v>
      </c>
      <c r="AT24" s="35">
        <f>F24/(100-AU24)*100</f>
        <v>0</v>
      </c>
      <c r="AU24" s="35">
        <v>0</v>
      </c>
      <c r="AV24" s="35">
        <f>K24</f>
        <v>12.452</v>
      </c>
    </row>
    <row r="25" spans="1:48" x14ac:dyDescent="0.2">
      <c r="C25" s="15" t="s">
        <v>273</v>
      </c>
      <c r="E25" s="20">
        <v>56.6</v>
      </c>
    </row>
    <row r="26" spans="1:48" x14ac:dyDescent="0.2">
      <c r="A26" s="4" t="s">
        <v>11</v>
      </c>
      <c r="B26" s="4" t="s">
        <v>137</v>
      </c>
      <c r="C26" s="4" t="s">
        <v>274</v>
      </c>
      <c r="D26" s="4" t="s">
        <v>523</v>
      </c>
      <c r="E26" s="19">
        <v>24</v>
      </c>
      <c r="F26" s="19">
        <v>0</v>
      </c>
      <c r="G26" s="19">
        <f>E26*AE26</f>
        <v>0</v>
      </c>
      <c r="H26" s="19">
        <f>I26-G26</f>
        <v>0</v>
      </c>
      <c r="I26" s="19">
        <f>E26*F26</f>
        <v>0</v>
      </c>
      <c r="J26" s="19">
        <v>0.16800000000000001</v>
      </c>
      <c r="K26" s="19">
        <f>E26*J26</f>
        <v>4.032</v>
      </c>
      <c r="L26" s="31" t="s">
        <v>548</v>
      </c>
      <c r="P26" s="35">
        <f>IF(AG26="5",I26,0)</f>
        <v>0</v>
      </c>
      <c r="R26" s="35">
        <f>IF(AG26="1",G26,0)</f>
        <v>0</v>
      </c>
      <c r="S26" s="35">
        <f>IF(AG26="1",H26,0)</f>
        <v>0</v>
      </c>
      <c r="T26" s="35">
        <f>IF(AG26="7",G26,0)</f>
        <v>0</v>
      </c>
      <c r="U26" s="35">
        <f>IF(AG26="7",H26,0)</f>
        <v>0</v>
      </c>
      <c r="V26" s="35">
        <f>IF(AG26="2",G26,0)</f>
        <v>0</v>
      </c>
      <c r="W26" s="35">
        <f>IF(AG26="2",H26,0)</f>
        <v>0</v>
      </c>
      <c r="X26" s="35">
        <f>IF(AG26="0",I26,0)</f>
        <v>0</v>
      </c>
      <c r="Y26" s="28"/>
      <c r="Z26" s="19">
        <f>IF(AD26=0,I26,0)</f>
        <v>0</v>
      </c>
      <c r="AA26" s="19">
        <f>IF(AD26=15,I26,0)</f>
        <v>0</v>
      </c>
      <c r="AB26" s="19">
        <f>IF(AD26=21,I26,0)</f>
        <v>0</v>
      </c>
      <c r="AD26" s="35">
        <v>21</v>
      </c>
      <c r="AE26" s="35">
        <f>F26*0</f>
        <v>0</v>
      </c>
      <c r="AF26" s="35">
        <f>F26*(1-0)</f>
        <v>0</v>
      </c>
      <c r="AG26" s="31" t="s">
        <v>7</v>
      </c>
      <c r="AM26" s="35">
        <f>E26*AE26</f>
        <v>0</v>
      </c>
      <c r="AN26" s="35">
        <f>E26*AF26</f>
        <v>0</v>
      </c>
      <c r="AO26" s="36" t="s">
        <v>559</v>
      </c>
      <c r="AP26" s="36" t="s">
        <v>578</v>
      </c>
      <c r="AQ26" s="28" t="s">
        <v>584</v>
      </c>
      <c r="AS26" s="35">
        <f>AM26+AN26</f>
        <v>0</v>
      </c>
      <c r="AT26" s="35">
        <f>F26/(100-AU26)*100</f>
        <v>0</v>
      </c>
      <c r="AU26" s="35">
        <v>0</v>
      </c>
      <c r="AV26" s="35">
        <f>K26</f>
        <v>4.032</v>
      </c>
    </row>
    <row r="27" spans="1:48" x14ac:dyDescent="0.2">
      <c r="C27" s="15" t="s">
        <v>275</v>
      </c>
      <c r="E27" s="20">
        <v>24</v>
      </c>
    </row>
    <row r="28" spans="1:48" x14ac:dyDescent="0.2">
      <c r="A28" s="4" t="s">
        <v>12</v>
      </c>
      <c r="B28" s="4" t="s">
        <v>138</v>
      </c>
      <c r="C28" s="4" t="s">
        <v>276</v>
      </c>
      <c r="D28" s="4" t="s">
        <v>523</v>
      </c>
      <c r="E28" s="19">
        <v>12</v>
      </c>
      <c r="F28" s="19">
        <v>0</v>
      </c>
      <c r="G28" s="19">
        <f>E28*AE28</f>
        <v>0</v>
      </c>
      <c r="H28" s="19">
        <f>I28-G28</f>
        <v>0</v>
      </c>
      <c r="I28" s="19">
        <f>E28*F28</f>
        <v>0</v>
      </c>
      <c r="J28" s="19">
        <v>0.6</v>
      </c>
      <c r="K28" s="19">
        <f>E28*J28</f>
        <v>7.1999999999999993</v>
      </c>
      <c r="L28" s="31" t="s">
        <v>548</v>
      </c>
      <c r="P28" s="35">
        <f>IF(AG28="5",I28,0)</f>
        <v>0</v>
      </c>
      <c r="R28" s="35">
        <f>IF(AG28="1",G28,0)</f>
        <v>0</v>
      </c>
      <c r="S28" s="35">
        <f>IF(AG28="1",H28,0)</f>
        <v>0</v>
      </c>
      <c r="T28" s="35">
        <f>IF(AG28="7",G28,0)</f>
        <v>0</v>
      </c>
      <c r="U28" s="35">
        <f>IF(AG28="7",H28,0)</f>
        <v>0</v>
      </c>
      <c r="V28" s="35">
        <f>IF(AG28="2",G28,0)</f>
        <v>0</v>
      </c>
      <c r="W28" s="35">
        <f>IF(AG28="2",H28,0)</f>
        <v>0</v>
      </c>
      <c r="X28" s="35">
        <f>IF(AG28="0",I28,0)</f>
        <v>0</v>
      </c>
      <c r="Y28" s="28"/>
      <c r="Z28" s="19">
        <f>IF(AD28=0,I28,0)</f>
        <v>0</v>
      </c>
      <c r="AA28" s="19">
        <f>IF(AD28=15,I28,0)</f>
        <v>0</v>
      </c>
      <c r="AB28" s="19">
        <f>IF(AD28=21,I28,0)</f>
        <v>0</v>
      </c>
      <c r="AD28" s="35">
        <v>21</v>
      </c>
      <c r="AE28" s="35">
        <f>F28*0</f>
        <v>0</v>
      </c>
      <c r="AF28" s="35">
        <f>F28*(1-0)</f>
        <v>0</v>
      </c>
      <c r="AG28" s="31" t="s">
        <v>7</v>
      </c>
      <c r="AM28" s="35">
        <f>E28*AE28</f>
        <v>0</v>
      </c>
      <c r="AN28" s="35">
        <f>E28*AF28</f>
        <v>0</v>
      </c>
      <c r="AO28" s="36" t="s">
        <v>559</v>
      </c>
      <c r="AP28" s="36" t="s">
        <v>578</v>
      </c>
      <c r="AQ28" s="28" t="s">
        <v>584</v>
      </c>
      <c r="AS28" s="35">
        <f>AM28+AN28</f>
        <v>0</v>
      </c>
      <c r="AT28" s="35">
        <f>F28/(100-AU28)*100</f>
        <v>0</v>
      </c>
      <c r="AU28" s="35">
        <v>0</v>
      </c>
      <c r="AV28" s="35">
        <f>K28</f>
        <v>7.1999999999999993</v>
      </c>
    </row>
    <row r="29" spans="1:48" x14ac:dyDescent="0.2">
      <c r="C29" s="15" t="s">
        <v>18</v>
      </c>
      <c r="E29" s="20">
        <v>12</v>
      </c>
    </row>
    <row r="30" spans="1:48" x14ac:dyDescent="0.2">
      <c r="A30" s="4" t="s">
        <v>13</v>
      </c>
      <c r="B30" s="4" t="s">
        <v>139</v>
      </c>
      <c r="C30" s="4" t="s">
        <v>277</v>
      </c>
      <c r="D30" s="4" t="s">
        <v>523</v>
      </c>
      <c r="E30" s="19">
        <v>200</v>
      </c>
      <c r="F30" s="19">
        <v>0</v>
      </c>
      <c r="G30" s="19">
        <f>E30*AE30</f>
        <v>0</v>
      </c>
      <c r="H30" s="19">
        <f>I30-G30</f>
        <v>0</v>
      </c>
      <c r="I30" s="19">
        <f>E30*F30</f>
        <v>0</v>
      </c>
      <c r="J30" s="19">
        <v>0.55000000000000004</v>
      </c>
      <c r="K30" s="19">
        <f>E30*J30</f>
        <v>110.00000000000001</v>
      </c>
      <c r="L30" s="31" t="s">
        <v>548</v>
      </c>
      <c r="P30" s="35">
        <f>IF(AG30="5",I30,0)</f>
        <v>0</v>
      </c>
      <c r="R30" s="35">
        <f>IF(AG30="1",G30,0)</f>
        <v>0</v>
      </c>
      <c r="S30" s="35">
        <f>IF(AG30="1",H30,0)</f>
        <v>0</v>
      </c>
      <c r="T30" s="35">
        <f>IF(AG30="7",G30,0)</f>
        <v>0</v>
      </c>
      <c r="U30" s="35">
        <f>IF(AG30="7",H30,0)</f>
        <v>0</v>
      </c>
      <c r="V30" s="35">
        <f>IF(AG30="2",G30,0)</f>
        <v>0</v>
      </c>
      <c r="W30" s="35">
        <f>IF(AG30="2",H30,0)</f>
        <v>0</v>
      </c>
      <c r="X30" s="35">
        <f>IF(AG30="0",I30,0)</f>
        <v>0</v>
      </c>
      <c r="Y30" s="28"/>
      <c r="Z30" s="19">
        <f>IF(AD30=0,I30,0)</f>
        <v>0</v>
      </c>
      <c r="AA30" s="19">
        <f>IF(AD30=15,I30,0)</f>
        <v>0</v>
      </c>
      <c r="AB30" s="19">
        <f>IF(AD30=21,I30,0)</f>
        <v>0</v>
      </c>
      <c r="AD30" s="35">
        <v>21</v>
      </c>
      <c r="AE30" s="35">
        <f>F30*0</f>
        <v>0</v>
      </c>
      <c r="AF30" s="35">
        <f>F30*(1-0)</f>
        <v>0</v>
      </c>
      <c r="AG30" s="31" t="s">
        <v>7</v>
      </c>
      <c r="AM30" s="35">
        <f>E30*AE30</f>
        <v>0</v>
      </c>
      <c r="AN30" s="35">
        <f>E30*AF30</f>
        <v>0</v>
      </c>
      <c r="AO30" s="36" t="s">
        <v>559</v>
      </c>
      <c r="AP30" s="36" t="s">
        <v>578</v>
      </c>
      <c r="AQ30" s="28" t="s">
        <v>584</v>
      </c>
      <c r="AS30" s="35">
        <f>AM30+AN30</f>
        <v>0</v>
      </c>
      <c r="AT30" s="35">
        <f>F30/(100-AU30)*100</f>
        <v>0</v>
      </c>
      <c r="AU30" s="35">
        <v>0</v>
      </c>
      <c r="AV30" s="35">
        <f>K30</f>
        <v>110.00000000000001</v>
      </c>
    </row>
    <row r="31" spans="1:48" x14ac:dyDescent="0.2">
      <c r="C31" s="15" t="s">
        <v>278</v>
      </c>
      <c r="E31" s="20">
        <v>200</v>
      </c>
    </row>
    <row r="32" spans="1:48" ht="25.7" customHeight="1" x14ac:dyDescent="0.2">
      <c r="B32" s="12" t="s">
        <v>133</v>
      </c>
      <c r="C32" s="112" t="s">
        <v>279</v>
      </c>
      <c r="D32" s="113"/>
      <c r="E32" s="113"/>
      <c r="F32" s="113"/>
      <c r="G32" s="113"/>
      <c r="H32" s="113"/>
      <c r="I32" s="113"/>
      <c r="J32" s="113"/>
      <c r="K32" s="113"/>
      <c r="L32" s="113"/>
    </row>
    <row r="33" spans="1:48" x14ac:dyDescent="0.2">
      <c r="A33" s="4" t="s">
        <v>14</v>
      </c>
      <c r="B33" s="4" t="s">
        <v>140</v>
      </c>
      <c r="C33" s="4" t="s">
        <v>280</v>
      </c>
      <c r="D33" s="4" t="s">
        <v>524</v>
      </c>
      <c r="E33" s="19">
        <v>61</v>
      </c>
      <c r="F33" s="19">
        <v>0</v>
      </c>
      <c r="G33" s="19">
        <f>E33*AE33</f>
        <v>0</v>
      </c>
      <c r="H33" s="19">
        <f>I33-G33</f>
        <v>0</v>
      </c>
      <c r="I33" s="19">
        <f>E33*F33</f>
        <v>0</v>
      </c>
      <c r="J33" s="19">
        <v>0.115</v>
      </c>
      <c r="K33" s="19">
        <f>E33*J33</f>
        <v>7.0150000000000006</v>
      </c>
      <c r="L33" s="31" t="s">
        <v>548</v>
      </c>
      <c r="P33" s="35">
        <f>IF(AG33="5",I33,0)</f>
        <v>0</v>
      </c>
      <c r="R33" s="35">
        <f>IF(AG33="1",G33,0)</f>
        <v>0</v>
      </c>
      <c r="S33" s="35">
        <f>IF(AG33="1",H33,0)</f>
        <v>0</v>
      </c>
      <c r="T33" s="35">
        <f>IF(AG33="7",G33,0)</f>
        <v>0</v>
      </c>
      <c r="U33" s="35">
        <f>IF(AG33="7",H33,0)</f>
        <v>0</v>
      </c>
      <c r="V33" s="35">
        <f>IF(AG33="2",G33,0)</f>
        <v>0</v>
      </c>
      <c r="W33" s="35">
        <f>IF(AG33="2",H33,0)</f>
        <v>0</v>
      </c>
      <c r="X33" s="35">
        <f>IF(AG33="0",I33,0)</f>
        <v>0</v>
      </c>
      <c r="Y33" s="28"/>
      <c r="Z33" s="19">
        <f>IF(AD33=0,I33,0)</f>
        <v>0</v>
      </c>
      <c r="AA33" s="19">
        <f>IF(AD33=15,I33,0)</f>
        <v>0</v>
      </c>
      <c r="AB33" s="19">
        <f>IF(AD33=21,I33,0)</f>
        <v>0</v>
      </c>
      <c r="AD33" s="35">
        <v>21</v>
      </c>
      <c r="AE33" s="35">
        <f>F33*0</f>
        <v>0</v>
      </c>
      <c r="AF33" s="35">
        <f>F33*(1-0)</f>
        <v>0</v>
      </c>
      <c r="AG33" s="31" t="s">
        <v>7</v>
      </c>
      <c r="AM33" s="35">
        <f>E33*AE33</f>
        <v>0</v>
      </c>
      <c r="AN33" s="35">
        <f>E33*AF33</f>
        <v>0</v>
      </c>
      <c r="AO33" s="36" t="s">
        <v>559</v>
      </c>
      <c r="AP33" s="36" t="s">
        <v>578</v>
      </c>
      <c r="AQ33" s="28" t="s">
        <v>584</v>
      </c>
      <c r="AS33" s="35">
        <f>AM33+AN33</f>
        <v>0</v>
      </c>
      <c r="AT33" s="35">
        <f>F33/(100-AU33)*100</f>
        <v>0</v>
      </c>
      <c r="AU33" s="35">
        <v>0</v>
      </c>
      <c r="AV33" s="35">
        <f>K33</f>
        <v>7.0150000000000006</v>
      </c>
    </row>
    <row r="34" spans="1:48" x14ac:dyDescent="0.2">
      <c r="C34" s="15" t="s">
        <v>67</v>
      </c>
      <c r="E34" s="20">
        <v>61</v>
      </c>
    </row>
    <row r="35" spans="1:48" x14ac:dyDescent="0.2">
      <c r="A35" s="4" t="s">
        <v>15</v>
      </c>
      <c r="B35" s="4" t="s">
        <v>141</v>
      </c>
      <c r="C35" s="4" t="s">
        <v>281</v>
      </c>
      <c r="D35" s="4" t="s">
        <v>524</v>
      </c>
      <c r="E35" s="19">
        <v>61</v>
      </c>
      <c r="F35" s="19">
        <v>0</v>
      </c>
      <c r="G35" s="19">
        <f>E35*AE35</f>
        <v>0</v>
      </c>
      <c r="H35" s="19">
        <f>I35-G35</f>
        <v>0</v>
      </c>
      <c r="I35" s="19">
        <f>E35*F35</f>
        <v>0</v>
      </c>
      <c r="J35" s="19">
        <v>0.27</v>
      </c>
      <c r="K35" s="19">
        <f>E35*J35</f>
        <v>16.470000000000002</v>
      </c>
      <c r="L35" s="31" t="s">
        <v>548</v>
      </c>
      <c r="P35" s="35">
        <f>IF(AG35="5",I35,0)</f>
        <v>0</v>
      </c>
      <c r="R35" s="35">
        <f>IF(AG35="1",G35,0)</f>
        <v>0</v>
      </c>
      <c r="S35" s="35">
        <f>IF(AG35="1",H35,0)</f>
        <v>0</v>
      </c>
      <c r="T35" s="35">
        <f>IF(AG35="7",G35,0)</f>
        <v>0</v>
      </c>
      <c r="U35" s="35">
        <f>IF(AG35="7",H35,0)</f>
        <v>0</v>
      </c>
      <c r="V35" s="35">
        <f>IF(AG35="2",G35,0)</f>
        <v>0</v>
      </c>
      <c r="W35" s="35">
        <f>IF(AG35="2",H35,0)</f>
        <v>0</v>
      </c>
      <c r="X35" s="35">
        <f>IF(AG35="0",I35,0)</f>
        <v>0</v>
      </c>
      <c r="Y35" s="28"/>
      <c r="Z35" s="19">
        <f>IF(AD35=0,I35,0)</f>
        <v>0</v>
      </c>
      <c r="AA35" s="19">
        <f>IF(AD35=15,I35,0)</f>
        <v>0</v>
      </c>
      <c r="AB35" s="19">
        <f>IF(AD35=21,I35,0)</f>
        <v>0</v>
      </c>
      <c r="AD35" s="35">
        <v>21</v>
      </c>
      <c r="AE35" s="35">
        <f>F35*0</f>
        <v>0</v>
      </c>
      <c r="AF35" s="35">
        <f>F35*(1-0)</f>
        <v>0</v>
      </c>
      <c r="AG35" s="31" t="s">
        <v>7</v>
      </c>
      <c r="AM35" s="35">
        <f>E35*AE35</f>
        <v>0</v>
      </c>
      <c r="AN35" s="35">
        <f>E35*AF35</f>
        <v>0</v>
      </c>
      <c r="AO35" s="36" t="s">
        <v>559</v>
      </c>
      <c r="AP35" s="36" t="s">
        <v>578</v>
      </c>
      <c r="AQ35" s="28" t="s">
        <v>584</v>
      </c>
      <c r="AS35" s="35">
        <f>AM35+AN35</f>
        <v>0</v>
      </c>
      <c r="AT35" s="35">
        <f>F35/(100-AU35)*100</f>
        <v>0</v>
      </c>
      <c r="AU35" s="35">
        <v>0</v>
      </c>
      <c r="AV35" s="35">
        <f>K35</f>
        <v>16.470000000000002</v>
      </c>
    </row>
    <row r="36" spans="1:48" x14ac:dyDescent="0.2">
      <c r="C36" s="15" t="s">
        <v>67</v>
      </c>
      <c r="E36" s="20">
        <v>61</v>
      </c>
    </row>
    <row r="37" spans="1:48" x14ac:dyDescent="0.2">
      <c r="A37" s="4" t="s">
        <v>16</v>
      </c>
      <c r="B37" s="4" t="s">
        <v>142</v>
      </c>
      <c r="C37" s="4" t="s">
        <v>282</v>
      </c>
      <c r="D37" s="4" t="s">
        <v>524</v>
      </c>
      <c r="E37" s="19">
        <v>139</v>
      </c>
      <c r="F37" s="19">
        <v>0</v>
      </c>
      <c r="G37" s="19">
        <f>E37*AE37</f>
        <v>0</v>
      </c>
      <c r="H37" s="19">
        <f>I37-G37</f>
        <v>0</v>
      </c>
      <c r="I37" s="19">
        <f>E37*F37</f>
        <v>0</v>
      </c>
      <c r="J37" s="19">
        <v>0.22</v>
      </c>
      <c r="K37" s="19">
        <f>E37*J37</f>
        <v>30.580000000000002</v>
      </c>
      <c r="L37" s="31" t="s">
        <v>548</v>
      </c>
      <c r="P37" s="35">
        <f>IF(AG37="5",I37,0)</f>
        <v>0</v>
      </c>
      <c r="R37" s="35">
        <f>IF(AG37="1",G37,0)</f>
        <v>0</v>
      </c>
      <c r="S37" s="35">
        <f>IF(AG37="1",H37,0)</f>
        <v>0</v>
      </c>
      <c r="T37" s="35">
        <f>IF(AG37="7",G37,0)</f>
        <v>0</v>
      </c>
      <c r="U37" s="35">
        <f>IF(AG37="7",H37,0)</f>
        <v>0</v>
      </c>
      <c r="V37" s="35">
        <f>IF(AG37="2",G37,0)</f>
        <v>0</v>
      </c>
      <c r="W37" s="35">
        <f>IF(AG37="2",H37,0)</f>
        <v>0</v>
      </c>
      <c r="X37" s="35">
        <f>IF(AG37="0",I37,0)</f>
        <v>0</v>
      </c>
      <c r="Y37" s="28"/>
      <c r="Z37" s="19">
        <f>IF(AD37=0,I37,0)</f>
        <v>0</v>
      </c>
      <c r="AA37" s="19">
        <f>IF(AD37=15,I37,0)</f>
        <v>0</v>
      </c>
      <c r="AB37" s="19">
        <f>IF(AD37=21,I37,0)</f>
        <v>0</v>
      </c>
      <c r="AD37" s="35">
        <v>21</v>
      </c>
      <c r="AE37" s="35">
        <f>F37*0</f>
        <v>0</v>
      </c>
      <c r="AF37" s="35">
        <f>F37*(1-0)</f>
        <v>0</v>
      </c>
      <c r="AG37" s="31" t="s">
        <v>7</v>
      </c>
      <c r="AM37" s="35">
        <f>E37*AE37</f>
        <v>0</v>
      </c>
      <c r="AN37" s="35">
        <f>E37*AF37</f>
        <v>0</v>
      </c>
      <c r="AO37" s="36" t="s">
        <v>559</v>
      </c>
      <c r="AP37" s="36" t="s">
        <v>578</v>
      </c>
      <c r="AQ37" s="28" t="s">
        <v>584</v>
      </c>
      <c r="AS37" s="35">
        <f>AM37+AN37</f>
        <v>0</v>
      </c>
      <c r="AT37" s="35">
        <f>F37/(100-AU37)*100</f>
        <v>0</v>
      </c>
      <c r="AU37" s="35">
        <v>0</v>
      </c>
      <c r="AV37" s="35">
        <f>K37</f>
        <v>30.580000000000002</v>
      </c>
    </row>
    <row r="38" spans="1:48" x14ac:dyDescent="0.2">
      <c r="C38" s="15" t="s">
        <v>283</v>
      </c>
      <c r="E38" s="20">
        <v>139</v>
      </c>
    </row>
    <row r="39" spans="1:48" x14ac:dyDescent="0.2">
      <c r="A39" s="5"/>
      <c r="B39" s="13" t="s">
        <v>18</v>
      </c>
      <c r="C39" s="13" t="s">
        <v>284</v>
      </c>
      <c r="D39" s="5" t="s">
        <v>6</v>
      </c>
      <c r="E39" s="5" t="s">
        <v>6</v>
      </c>
      <c r="F39" s="5" t="s">
        <v>6</v>
      </c>
      <c r="G39" s="38">
        <f>SUM(G40:G46)</f>
        <v>0</v>
      </c>
      <c r="H39" s="38">
        <f>SUM(H40:H46)</f>
        <v>0</v>
      </c>
      <c r="I39" s="38">
        <f>G39+H39</f>
        <v>0</v>
      </c>
      <c r="J39" s="28"/>
      <c r="K39" s="38">
        <f>SUM(K40:K46)</f>
        <v>20.399999999999999</v>
      </c>
      <c r="L39" s="28"/>
      <c r="Y39" s="28"/>
      <c r="AI39" s="38">
        <f>SUM(Z40:Z46)</f>
        <v>0</v>
      </c>
      <c r="AJ39" s="38">
        <f>SUM(AA40:AA46)</f>
        <v>0</v>
      </c>
      <c r="AK39" s="38">
        <f>SUM(AB40:AB46)</f>
        <v>0</v>
      </c>
    </row>
    <row r="40" spans="1:48" x14ac:dyDescent="0.2">
      <c r="A40" s="4" t="s">
        <v>17</v>
      </c>
      <c r="B40" s="4" t="s">
        <v>143</v>
      </c>
      <c r="C40" s="4" t="s">
        <v>285</v>
      </c>
      <c r="D40" s="4" t="s">
        <v>525</v>
      </c>
      <c r="E40" s="19">
        <v>8.5</v>
      </c>
      <c r="F40" s="19">
        <v>0</v>
      </c>
      <c r="G40" s="19">
        <f>E40*AE40</f>
        <v>0</v>
      </c>
      <c r="H40" s="19">
        <f>I40-G40</f>
        <v>0</v>
      </c>
      <c r="I40" s="19">
        <f>E40*F40</f>
        <v>0</v>
      </c>
      <c r="J40" s="19">
        <v>2.4</v>
      </c>
      <c r="K40" s="19">
        <f>E40*J40</f>
        <v>20.399999999999999</v>
      </c>
      <c r="L40" s="31" t="s">
        <v>548</v>
      </c>
      <c r="P40" s="35">
        <f>IF(AG40="5",I40,0)</f>
        <v>0</v>
      </c>
      <c r="R40" s="35">
        <f>IF(AG40="1",G40,0)</f>
        <v>0</v>
      </c>
      <c r="S40" s="35">
        <f>IF(AG40="1",H40,0)</f>
        <v>0</v>
      </c>
      <c r="T40" s="35">
        <f>IF(AG40="7",G40,0)</f>
        <v>0</v>
      </c>
      <c r="U40" s="35">
        <f>IF(AG40="7",H40,0)</f>
        <v>0</v>
      </c>
      <c r="V40" s="35">
        <f>IF(AG40="2",G40,0)</f>
        <v>0</v>
      </c>
      <c r="W40" s="35">
        <f>IF(AG40="2",H40,0)</f>
        <v>0</v>
      </c>
      <c r="X40" s="35">
        <f>IF(AG40="0",I40,0)</f>
        <v>0</v>
      </c>
      <c r="Y40" s="28"/>
      <c r="Z40" s="19">
        <f>IF(AD40=0,I40,0)</f>
        <v>0</v>
      </c>
      <c r="AA40" s="19">
        <f>IF(AD40=15,I40,0)</f>
        <v>0</v>
      </c>
      <c r="AB40" s="19">
        <f>IF(AD40=21,I40,0)</f>
        <v>0</v>
      </c>
      <c r="AD40" s="35">
        <v>21</v>
      </c>
      <c r="AE40" s="35">
        <f>F40*0</f>
        <v>0</v>
      </c>
      <c r="AF40" s="35">
        <f>F40*(1-0)</f>
        <v>0</v>
      </c>
      <c r="AG40" s="31" t="s">
        <v>7</v>
      </c>
      <c r="AM40" s="35">
        <f>E40*AE40</f>
        <v>0</v>
      </c>
      <c r="AN40" s="35">
        <f>E40*AF40</f>
        <v>0</v>
      </c>
      <c r="AO40" s="36" t="s">
        <v>560</v>
      </c>
      <c r="AP40" s="36" t="s">
        <v>578</v>
      </c>
      <c r="AQ40" s="28" t="s">
        <v>584</v>
      </c>
      <c r="AS40" s="35">
        <f>AM40+AN40</f>
        <v>0</v>
      </c>
      <c r="AT40" s="35">
        <f>F40/(100-AU40)*100</f>
        <v>0</v>
      </c>
      <c r="AU40" s="35">
        <v>0</v>
      </c>
      <c r="AV40" s="35">
        <f>K40</f>
        <v>20.399999999999999</v>
      </c>
    </row>
    <row r="41" spans="1:48" x14ac:dyDescent="0.2">
      <c r="C41" s="16" t="s">
        <v>286</v>
      </c>
    </row>
    <row r="42" spans="1:48" x14ac:dyDescent="0.2">
      <c r="C42" s="15" t="s">
        <v>287</v>
      </c>
      <c r="E42" s="20">
        <v>8.5</v>
      </c>
    </row>
    <row r="43" spans="1:48" ht="38.450000000000003" customHeight="1" x14ac:dyDescent="0.2">
      <c r="B43" s="12" t="s">
        <v>133</v>
      </c>
      <c r="C43" s="112" t="s">
        <v>288</v>
      </c>
      <c r="D43" s="113"/>
      <c r="E43" s="113"/>
      <c r="F43" s="113"/>
      <c r="G43" s="113"/>
      <c r="H43" s="113"/>
      <c r="I43" s="113"/>
      <c r="J43" s="113"/>
      <c r="K43" s="113"/>
      <c r="L43" s="113"/>
    </row>
    <row r="44" spans="1:48" x14ac:dyDescent="0.2">
      <c r="A44" s="4" t="s">
        <v>18</v>
      </c>
      <c r="B44" s="4" t="s">
        <v>144</v>
      </c>
      <c r="C44" s="4" t="s">
        <v>289</v>
      </c>
      <c r="D44" s="4" t="s">
        <v>525</v>
      </c>
      <c r="E44" s="19">
        <v>210</v>
      </c>
      <c r="F44" s="19">
        <v>0</v>
      </c>
      <c r="G44" s="19">
        <f>E44*AE44</f>
        <v>0</v>
      </c>
      <c r="H44" s="19">
        <f>I44-G44</f>
        <v>0</v>
      </c>
      <c r="I44" s="19">
        <f>E44*F44</f>
        <v>0</v>
      </c>
      <c r="J44" s="19">
        <v>0</v>
      </c>
      <c r="K44" s="19">
        <f>E44*J44</f>
        <v>0</v>
      </c>
      <c r="L44" s="31" t="s">
        <v>548</v>
      </c>
      <c r="P44" s="35">
        <f>IF(AG44="5",I44,0)</f>
        <v>0</v>
      </c>
      <c r="R44" s="35">
        <f>IF(AG44="1",G44,0)</f>
        <v>0</v>
      </c>
      <c r="S44" s="35">
        <f>IF(AG44="1",H44,0)</f>
        <v>0</v>
      </c>
      <c r="T44" s="35">
        <f>IF(AG44="7",G44,0)</f>
        <v>0</v>
      </c>
      <c r="U44" s="35">
        <f>IF(AG44="7",H44,0)</f>
        <v>0</v>
      </c>
      <c r="V44" s="35">
        <f>IF(AG44="2",G44,0)</f>
        <v>0</v>
      </c>
      <c r="W44" s="35">
        <f>IF(AG44="2",H44,0)</f>
        <v>0</v>
      </c>
      <c r="X44" s="35">
        <f>IF(AG44="0",I44,0)</f>
        <v>0</v>
      </c>
      <c r="Y44" s="28"/>
      <c r="Z44" s="19">
        <f>IF(AD44=0,I44,0)</f>
        <v>0</v>
      </c>
      <c r="AA44" s="19">
        <f>IF(AD44=15,I44,0)</f>
        <v>0</v>
      </c>
      <c r="AB44" s="19">
        <f>IF(AD44=21,I44,0)</f>
        <v>0</v>
      </c>
      <c r="AD44" s="35">
        <v>21</v>
      </c>
      <c r="AE44" s="35">
        <f>F44*0</f>
        <v>0</v>
      </c>
      <c r="AF44" s="35">
        <f>F44*(1-0)</f>
        <v>0</v>
      </c>
      <c r="AG44" s="31" t="s">
        <v>7</v>
      </c>
      <c r="AM44" s="35">
        <f>E44*AE44</f>
        <v>0</v>
      </c>
      <c r="AN44" s="35">
        <f>E44*AF44</f>
        <v>0</v>
      </c>
      <c r="AO44" s="36" t="s">
        <v>560</v>
      </c>
      <c r="AP44" s="36" t="s">
        <v>578</v>
      </c>
      <c r="AQ44" s="28" t="s">
        <v>584</v>
      </c>
      <c r="AS44" s="35">
        <f>AM44+AN44</f>
        <v>0</v>
      </c>
      <c r="AT44" s="35">
        <f>F44/(100-AU44)*100</f>
        <v>0</v>
      </c>
      <c r="AU44" s="35">
        <v>0</v>
      </c>
      <c r="AV44" s="35">
        <f>K44</f>
        <v>0</v>
      </c>
    </row>
    <row r="45" spans="1:48" x14ac:dyDescent="0.2">
      <c r="C45" s="15" t="s">
        <v>290</v>
      </c>
      <c r="E45" s="20">
        <v>210</v>
      </c>
    </row>
    <row r="46" spans="1:48" x14ac:dyDescent="0.2">
      <c r="A46" s="4" t="s">
        <v>19</v>
      </c>
      <c r="B46" s="4" t="s">
        <v>145</v>
      </c>
      <c r="C46" s="4" t="s">
        <v>291</v>
      </c>
      <c r="D46" s="4" t="s">
        <v>525</v>
      </c>
      <c r="E46" s="19">
        <v>37</v>
      </c>
      <c r="F46" s="19">
        <v>0</v>
      </c>
      <c r="G46" s="19">
        <f>E46*AE46</f>
        <v>0</v>
      </c>
      <c r="H46" s="19">
        <f>I46-G46</f>
        <v>0</v>
      </c>
      <c r="I46" s="19">
        <f>E46*F46</f>
        <v>0</v>
      </c>
      <c r="J46" s="19">
        <v>0</v>
      </c>
      <c r="K46" s="19">
        <f>E46*J46</f>
        <v>0</v>
      </c>
      <c r="L46" s="31" t="s">
        <v>548</v>
      </c>
      <c r="P46" s="35">
        <f>IF(AG46="5",I46,0)</f>
        <v>0</v>
      </c>
      <c r="R46" s="35">
        <f>IF(AG46="1",G46,0)</f>
        <v>0</v>
      </c>
      <c r="S46" s="35">
        <f>IF(AG46="1",H46,0)</f>
        <v>0</v>
      </c>
      <c r="T46" s="35">
        <f>IF(AG46="7",G46,0)</f>
        <v>0</v>
      </c>
      <c r="U46" s="35">
        <f>IF(AG46="7",H46,0)</f>
        <v>0</v>
      </c>
      <c r="V46" s="35">
        <f>IF(AG46="2",G46,0)</f>
        <v>0</v>
      </c>
      <c r="W46" s="35">
        <f>IF(AG46="2",H46,0)</f>
        <v>0</v>
      </c>
      <c r="X46" s="35">
        <f>IF(AG46="0",I46,0)</f>
        <v>0</v>
      </c>
      <c r="Y46" s="28"/>
      <c r="Z46" s="19">
        <f>IF(AD46=0,I46,0)</f>
        <v>0</v>
      </c>
      <c r="AA46" s="19">
        <f>IF(AD46=15,I46,0)</f>
        <v>0</v>
      </c>
      <c r="AB46" s="19">
        <f>IF(AD46=21,I46,0)</f>
        <v>0</v>
      </c>
      <c r="AD46" s="35">
        <v>21</v>
      </c>
      <c r="AE46" s="35">
        <f>F46*0</f>
        <v>0</v>
      </c>
      <c r="AF46" s="35">
        <f>F46*(1-0)</f>
        <v>0</v>
      </c>
      <c r="AG46" s="31" t="s">
        <v>7</v>
      </c>
      <c r="AM46" s="35">
        <f>E46*AE46</f>
        <v>0</v>
      </c>
      <c r="AN46" s="35">
        <f>E46*AF46</f>
        <v>0</v>
      </c>
      <c r="AO46" s="36" t="s">
        <v>560</v>
      </c>
      <c r="AP46" s="36" t="s">
        <v>578</v>
      </c>
      <c r="AQ46" s="28" t="s">
        <v>584</v>
      </c>
      <c r="AS46" s="35">
        <f>AM46+AN46</f>
        <v>0</v>
      </c>
      <c r="AT46" s="35">
        <f>F46/(100-AU46)*100</f>
        <v>0</v>
      </c>
      <c r="AU46" s="35">
        <v>0</v>
      </c>
      <c r="AV46" s="35">
        <f>K46</f>
        <v>0</v>
      </c>
    </row>
    <row r="47" spans="1:48" x14ac:dyDescent="0.2">
      <c r="C47" s="15" t="s">
        <v>292</v>
      </c>
      <c r="E47" s="20">
        <v>37</v>
      </c>
    </row>
    <row r="48" spans="1:48" ht="64.150000000000006" customHeight="1" x14ac:dyDescent="0.2">
      <c r="B48" s="12" t="s">
        <v>133</v>
      </c>
      <c r="C48" s="112" t="s">
        <v>293</v>
      </c>
      <c r="D48" s="113"/>
      <c r="E48" s="113"/>
      <c r="F48" s="113"/>
      <c r="G48" s="113"/>
      <c r="H48" s="113"/>
      <c r="I48" s="113"/>
      <c r="J48" s="113"/>
      <c r="K48" s="113"/>
      <c r="L48" s="113"/>
    </row>
    <row r="49" spans="1:48" ht="64.150000000000006" customHeight="1" x14ac:dyDescent="0.2">
      <c r="C49" s="112" t="s">
        <v>294</v>
      </c>
      <c r="D49" s="113"/>
      <c r="E49" s="113"/>
      <c r="F49" s="113"/>
      <c r="G49" s="113"/>
      <c r="H49" s="113"/>
      <c r="I49" s="113"/>
      <c r="J49" s="113"/>
      <c r="K49" s="113"/>
      <c r="L49" s="113"/>
    </row>
    <row r="50" spans="1:48" ht="64.150000000000006" customHeight="1" x14ac:dyDescent="0.2">
      <c r="C50" s="112" t="s">
        <v>295</v>
      </c>
      <c r="D50" s="113"/>
      <c r="E50" s="113"/>
      <c r="F50" s="113"/>
      <c r="G50" s="113"/>
      <c r="H50" s="113"/>
      <c r="I50" s="113"/>
      <c r="J50" s="113"/>
      <c r="K50" s="113"/>
      <c r="L50" s="113"/>
    </row>
    <row r="51" spans="1:48" x14ac:dyDescent="0.2">
      <c r="C51" s="112" t="s">
        <v>296</v>
      </c>
      <c r="D51" s="113"/>
      <c r="E51" s="113"/>
      <c r="F51" s="113"/>
      <c r="G51" s="113"/>
      <c r="H51" s="113"/>
      <c r="I51" s="113"/>
      <c r="J51" s="113"/>
      <c r="K51" s="113"/>
      <c r="L51" s="113"/>
    </row>
    <row r="52" spans="1:48" x14ac:dyDescent="0.2">
      <c r="A52" s="5"/>
      <c r="B52" s="13" t="s">
        <v>19</v>
      </c>
      <c r="C52" s="13" t="s">
        <v>297</v>
      </c>
      <c r="D52" s="5" t="s">
        <v>6</v>
      </c>
      <c r="E52" s="5" t="s">
        <v>6</v>
      </c>
      <c r="F52" s="5" t="s">
        <v>6</v>
      </c>
      <c r="G52" s="38">
        <f>SUM(G53:G55)</f>
        <v>0</v>
      </c>
      <c r="H52" s="38">
        <f>SUM(H53:H55)</f>
        <v>0</v>
      </c>
      <c r="I52" s="38">
        <f>G52+H52</f>
        <v>0</v>
      </c>
      <c r="J52" s="28"/>
      <c r="K52" s="38">
        <f>SUM(K53:K55)</f>
        <v>0</v>
      </c>
      <c r="L52" s="28"/>
      <c r="Y52" s="28"/>
      <c r="AI52" s="38">
        <f>SUM(Z53:Z55)</f>
        <v>0</v>
      </c>
      <c r="AJ52" s="38">
        <f>SUM(AA53:AA55)</f>
        <v>0</v>
      </c>
      <c r="AK52" s="38">
        <f>SUM(AB53:AB55)</f>
        <v>0</v>
      </c>
    </row>
    <row r="53" spans="1:48" x14ac:dyDescent="0.2">
      <c r="A53" s="4" t="s">
        <v>20</v>
      </c>
      <c r="B53" s="4" t="s">
        <v>146</v>
      </c>
      <c r="C53" s="4" t="s">
        <v>298</v>
      </c>
      <c r="D53" s="4" t="s">
        <v>525</v>
      </c>
      <c r="E53" s="19">
        <v>24</v>
      </c>
      <c r="F53" s="19">
        <v>0</v>
      </c>
      <c r="G53" s="19">
        <f>E53*AE53</f>
        <v>0</v>
      </c>
      <c r="H53" s="19">
        <f>I53-G53</f>
        <v>0</v>
      </c>
      <c r="I53" s="19">
        <f>E53*F53</f>
        <v>0</v>
      </c>
      <c r="J53" s="19">
        <v>0</v>
      </c>
      <c r="K53" s="19">
        <f>E53*J53</f>
        <v>0</v>
      </c>
      <c r="L53" s="31" t="s">
        <v>548</v>
      </c>
      <c r="P53" s="35">
        <f>IF(AG53="5",I53,0)</f>
        <v>0</v>
      </c>
      <c r="R53" s="35">
        <f>IF(AG53="1",G53,0)</f>
        <v>0</v>
      </c>
      <c r="S53" s="35">
        <f>IF(AG53="1",H53,0)</f>
        <v>0</v>
      </c>
      <c r="T53" s="35">
        <f>IF(AG53="7",G53,0)</f>
        <v>0</v>
      </c>
      <c r="U53" s="35">
        <f>IF(AG53="7",H53,0)</f>
        <v>0</v>
      </c>
      <c r="V53" s="35">
        <f>IF(AG53="2",G53,0)</f>
        <v>0</v>
      </c>
      <c r="W53" s="35">
        <f>IF(AG53="2",H53,0)</f>
        <v>0</v>
      </c>
      <c r="X53" s="35">
        <f>IF(AG53="0",I53,0)</f>
        <v>0</v>
      </c>
      <c r="Y53" s="28"/>
      <c r="Z53" s="19">
        <f>IF(AD53=0,I53,0)</f>
        <v>0</v>
      </c>
      <c r="AA53" s="19">
        <f>IF(AD53=15,I53,0)</f>
        <v>0</v>
      </c>
      <c r="AB53" s="19">
        <f>IF(AD53=21,I53,0)</f>
        <v>0</v>
      </c>
      <c r="AD53" s="35">
        <v>21</v>
      </c>
      <c r="AE53" s="35">
        <f>F53*0</f>
        <v>0</v>
      </c>
      <c r="AF53" s="35">
        <f>F53*(1-0)</f>
        <v>0</v>
      </c>
      <c r="AG53" s="31" t="s">
        <v>7</v>
      </c>
      <c r="AM53" s="35">
        <f>E53*AE53</f>
        <v>0</v>
      </c>
      <c r="AN53" s="35">
        <f>E53*AF53</f>
        <v>0</v>
      </c>
      <c r="AO53" s="36" t="s">
        <v>561</v>
      </c>
      <c r="AP53" s="36" t="s">
        <v>578</v>
      </c>
      <c r="AQ53" s="28" t="s">
        <v>584</v>
      </c>
      <c r="AS53" s="35">
        <f>AM53+AN53</f>
        <v>0</v>
      </c>
      <c r="AT53" s="35">
        <f>F53/(100-AU53)*100</f>
        <v>0</v>
      </c>
      <c r="AU53" s="35">
        <v>0</v>
      </c>
      <c r="AV53" s="35">
        <f>K53</f>
        <v>0</v>
      </c>
    </row>
    <row r="54" spans="1:48" x14ac:dyDescent="0.2">
      <c r="C54" s="15" t="s">
        <v>299</v>
      </c>
      <c r="E54" s="20">
        <v>24</v>
      </c>
    </row>
    <row r="55" spans="1:48" x14ac:dyDescent="0.2">
      <c r="A55" s="4" t="s">
        <v>21</v>
      </c>
      <c r="B55" s="4" t="s">
        <v>147</v>
      </c>
      <c r="C55" s="4" t="s">
        <v>300</v>
      </c>
      <c r="D55" s="4" t="s">
        <v>525</v>
      </c>
      <c r="E55" s="19">
        <v>9</v>
      </c>
      <c r="F55" s="19">
        <v>0</v>
      </c>
      <c r="G55" s="19">
        <f>E55*AE55</f>
        <v>0</v>
      </c>
      <c r="H55" s="19">
        <f>I55-G55</f>
        <v>0</v>
      </c>
      <c r="I55" s="19">
        <f>E55*F55</f>
        <v>0</v>
      </c>
      <c r="J55" s="19">
        <v>0</v>
      </c>
      <c r="K55" s="19">
        <f>E55*J55</f>
        <v>0</v>
      </c>
      <c r="L55" s="31" t="s">
        <v>548</v>
      </c>
      <c r="P55" s="35">
        <f>IF(AG55="5",I55,0)</f>
        <v>0</v>
      </c>
      <c r="R55" s="35">
        <f>IF(AG55="1",G55,0)</f>
        <v>0</v>
      </c>
      <c r="S55" s="35">
        <f>IF(AG55="1",H55,0)</f>
        <v>0</v>
      </c>
      <c r="T55" s="35">
        <f>IF(AG55="7",G55,0)</f>
        <v>0</v>
      </c>
      <c r="U55" s="35">
        <f>IF(AG55="7",H55,0)</f>
        <v>0</v>
      </c>
      <c r="V55" s="35">
        <f>IF(AG55="2",G55,0)</f>
        <v>0</v>
      </c>
      <c r="W55" s="35">
        <f>IF(AG55="2",H55,0)</f>
        <v>0</v>
      </c>
      <c r="X55" s="35">
        <f>IF(AG55="0",I55,0)</f>
        <v>0</v>
      </c>
      <c r="Y55" s="28"/>
      <c r="Z55" s="19">
        <f>IF(AD55=0,I55,0)</f>
        <v>0</v>
      </c>
      <c r="AA55" s="19">
        <f>IF(AD55=15,I55,0)</f>
        <v>0</v>
      </c>
      <c r="AB55" s="19">
        <f>IF(AD55=21,I55,0)</f>
        <v>0</v>
      </c>
      <c r="AD55" s="35">
        <v>21</v>
      </c>
      <c r="AE55" s="35">
        <f>F55*0</f>
        <v>0</v>
      </c>
      <c r="AF55" s="35">
        <f>F55*(1-0)</f>
        <v>0</v>
      </c>
      <c r="AG55" s="31" t="s">
        <v>7</v>
      </c>
      <c r="AM55" s="35">
        <f>E55*AE55</f>
        <v>0</v>
      </c>
      <c r="AN55" s="35">
        <f>E55*AF55</f>
        <v>0</v>
      </c>
      <c r="AO55" s="36" t="s">
        <v>561</v>
      </c>
      <c r="AP55" s="36" t="s">
        <v>578</v>
      </c>
      <c r="AQ55" s="28" t="s">
        <v>584</v>
      </c>
      <c r="AS55" s="35">
        <f>AM55+AN55</f>
        <v>0</v>
      </c>
      <c r="AT55" s="35">
        <f>F55/(100-AU55)*100</f>
        <v>0</v>
      </c>
      <c r="AU55" s="35">
        <v>0</v>
      </c>
      <c r="AV55" s="35">
        <f>K55</f>
        <v>0</v>
      </c>
    </row>
    <row r="56" spans="1:48" x14ac:dyDescent="0.2">
      <c r="C56" s="15" t="s">
        <v>301</v>
      </c>
      <c r="E56" s="20">
        <v>9</v>
      </c>
    </row>
    <row r="57" spans="1:48" ht="38.450000000000003" customHeight="1" x14ac:dyDescent="0.2">
      <c r="B57" s="12" t="s">
        <v>133</v>
      </c>
      <c r="C57" s="112" t="s">
        <v>302</v>
      </c>
      <c r="D57" s="113"/>
      <c r="E57" s="113"/>
      <c r="F57" s="113"/>
      <c r="G57" s="113"/>
      <c r="H57" s="113"/>
      <c r="I57" s="113"/>
      <c r="J57" s="113"/>
      <c r="K57" s="113"/>
      <c r="L57" s="113"/>
    </row>
    <row r="58" spans="1:48" x14ac:dyDescent="0.2">
      <c r="A58" s="5"/>
      <c r="B58" s="13" t="s">
        <v>22</v>
      </c>
      <c r="C58" s="13" t="s">
        <v>303</v>
      </c>
      <c r="D58" s="5" t="s">
        <v>6</v>
      </c>
      <c r="E58" s="5" t="s">
        <v>6</v>
      </c>
      <c r="F58" s="5" t="s">
        <v>6</v>
      </c>
      <c r="G58" s="38">
        <f>SUM(G59:G67)</f>
        <v>0</v>
      </c>
      <c r="H58" s="38">
        <f>SUM(H59:H67)</f>
        <v>0</v>
      </c>
      <c r="I58" s="38">
        <f>G58+H58</f>
        <v>0</v>
      </c>
      <c r="J58" s="28"/>
      <c r="K58" s="38">
        <f>SUM(K59:K67)</f>
        <v>0</v>
      </c>
      <c r="L58" s="28"/>
      <c r="Y58" s="28"/>
      <c r="AI58" s="38">
        <f>SUM(Z59:Z67)</f>
        <v>0</v>
      </c>
      <c r="AJ58" s="38">
        <f>SUM(AA59:AA67)</f>
        <v>0</v>
      </c>
      <c r="AK58" s="38">
        <f>SUM(AB59:AB67)</f>
        <v>0</v>
      </c>
    </row>
    <row r="59" spans="1:48" x14ac:dyDescent="0.2">
      <c r="A59" s="4" t="s">
        <v>22</v>
      </c>
      <c r="B59" s="4" t="s">
        <v>148</v>
      </c>
      <c r="C59" s="4" t="s">
        <v>304</v>
      </c>
      <c r="D59" s="4" t="s">
        <v>523</v>
      </c>
      <c r="E59" s="19">
        <v>82</v>
      </c>
      <c r="F59" s="19">
        <v>0</v>
      </c>
      <c r="G59" s="19">
        <f>E59*AE59</f>
        <v>0</v>
      </c>
      <c r="H59" s="19">
        <f>I59-G59</f>
        <v>0</v>
      </c>
      <c r="I59" s="19">
        <f>E59*F59</f>
        <v>0</v>
      </c>
      <c r="J59" s="19">
        <v>0</v>
      </c>
      <c r="K59" s="19">
        <f>E59*J59</f>
        <v>0</v>
      </c>
      <c r="L59" s="31" t="s">
        <v>548</v>
      </c>
      <c r="P59" s="35">
        <f>IF(AG59="5",I59,0)</f>
        <v>0</v>
      </c>
      <c r="R59" s="35">
        <f>IF(AG59="1",G59,0)</f>
        <v>0</v>
      </c>
      <c r="S59" s="35">
        <f>IF(AG59="1",H59,0)</f>
        <v>0</v>
      </c>
      <c r="T59" s="35">
        <f>IF(AG59="7",G59,0)</f>
        <v>0</v>
      </c>
      <c r="U59" s="35">
        <f>IF(AG59="7",H59,0)</f>
        <v>0</v>
      </c>
      <c r="V59" s="35">
        <f>IF(AG59="2",G59,0)</f>
        <v>0</v>
      </c>
      <c r="W59" s="35">
        <f>IF(AG59="2",H59,0)</f>
        <v>0</v>
      </c>
      <c r="X59" s="35">
        <f>IF(AG59="0",I59,0)</f>
        <v>0</v>
      </c>
      <c r="Y59" s="28"/>
      <c r="Z59" s="19">
        <f>IF(AD59=0,I59,0)</f>
        <v>0</v>
      </c>
      <c r="AA59" s="19">
        <f>IF(AD59=15,I59,0)</f>
        <v>0</v>
      </c>
      <c r="AB59" s="19">
        <f>IF(AD59=21,I59,0)</f>
        <v>0</v>
      </c>
      <c r="AD59" s="35">
        <v>21</v>
      </c>
      <c r="AE59" s="35">
        <f>F59*0</f>
        <v>0</v>
      </c>
      <c r="AF59" s="35">
        <f>F59*(1-0)</f>
        <v>0</v>
      </c>
      <c r="AG59" s="31" t="s">
        <v>7</v>
      </c>
      <c r="AM59" s="35">
        <f>E59*AE59</f>
        <v>0</v>
      </c>
      <c r="AN59" s="35">
        <f>E59*AF59</f>
        <v>0</v>
      </c>
      <c r="AO59" s="36" t="s">
        <v>562</v>
      </c>
      <c r="AP59" s="36" t="s">
        <v>578</v>
      </c>
      <c r="AQ59" s="28" t="s">
        <v>584</v>
      </c>
      <c r="AS59" s="35">
        <f>AM59+AN59</f>
        <v>0</v>
      </c>
      <c r="AT59" s="35">
        <f>F59/(100-AU59)*100</f>
        <v>0</v>
      </c>
      <c r="AU59" s="35">
        <v>0</v>
      </c>
      <c r="AV59" s="35">
        <f>K59</f>
        <v>0</v>
      </c>
    </row>
    <row r="60" spans="1:48" x14ac:dyDescent="0.2">
      <c r="C60" s="15" t="s">
        <v>88</v>
      </c>
      <c r="E60" s="20">
        <v>82</v>
      </c>
    </row>
    <row r="61" spans="1:48" x14ac:dyDescent="0.2">
      <c r="B61" s="12" t="s">
        <v>133</v>
      </c>
      <c r="C61" s="112" t="s">
        <v>305</v>
      </c>
      <c r="D61" s="113"/>
      <c r="E61" s="113"/>
      <c r="F61" s="113"/>
      <c r="G61" s="113"/>
      <c r="H61" s="113"/>
      <c r="I61" s="113"/>
      <c r="J61" s="113"/>
      <c r="K61" s="113"/>
      <c r="L61" s="113"/>
    </row>
    <row r="62" spans="1:48" x14ac:dyDescent="0.2">
      <c r="A62" s="4" t="s">
        <v>23</v>
      </c>
      <c r="B62" s="4" t="s">
        <v>149</v>
      </c>
      <c r="C62" s="4" t="s">
        <v>306</v>
      </c>
      <c r="D62" s="4" t="s">
        <v>526</v>
      </c>
      <c r="E62" s="19">
        <v>1</v>
      </c>
      <c r="F62" s="19">
        <v>0</v>
      </c>
      <c r="G62" s="19">
        <f>E62*AE62</f>
        <v>0</v>
      </c>
      <c r="H62" s="19">
        <f>I62-G62</f>
        <v>0</v>
      </c>
      <c r="I62" s="19">
        <f>E62*F62</f>
        <v>0</v>
      </c>
      <c r="J62" s="19">
        <v>0</v>
      </c>
      <c r="K62" s="19">
        <f>E62*J62</f>
        <v>0</v>
      </c>
      <c r="L62" s="31"/>
      <c r="P62" s="35">
        <f>IF(AG62="5",I62,0)</f>
        <v>0</v>
      </c>
      <c r="R62" s="35">
        <f>IF(AG62="1",G62,0)</f>
        <v>0</v>
      </c>
      <c r="S62" s="35">
        <f>IF(AG62="1",H62,0)</f>
        <v>0</v>
      </c>
      <c r="T62" s="35">
        <f>IF(AG62="7",G62,0)</f>
        <v>0</v>
      </c>
      <c r="U62" s="35">
        <f>IF(AG62="7",H62,0)</f>
        <v>0</v>
      </c>
      <c r="V62" s="35">
        <f>IF(AG62="2",G62,0)</f>
        <v>0</v>
      </c>
      <c r="W62" s="35">
        <f>IF(AG62="2",H62,0)</f>
        <v>0</v>
      </c>
      <c r="X62" s="35">
        <f>IF(AG62="0",I62,0)</f>
        <v>0</v>
      </c>
      <c r="Y62" s="28"/>
      <c r="Z62" s="19">
        <f>IF(AD62=0,I62,0)</f>
        <v>0</v>
      </c>
      <c r="AA62" s="19">
        <f>IF(AD62=15,I62,0)</f>
        <v>0</v>
      </c>
      <c r="AB62" s="19">
        <f>IF(AD62=21,I62,0)</f>
        <v>0</v>
      </c>
      <c r="AD62" s="35">
        <v>21</v>
      </c>
      <c r="AE62" s="35">
        <f>F62*1</f>
        <v>0</v>
      </c>
      <c r="AF62" s="35">
        <f>F62*(1-1)</f>
        <v>0</v>
      </c>
      <c r="AG62" s="31" t="s">
        <v>7</v>
      </c>
      <c r="AM62" s="35">
        <f>E62*AE62</f>
        <v>0</v>
      </c>
      <c r="AN62" s="35">
        <f>E62*AF62</f>
        <v>0</v>
      </c>
      <c r="AO62" s="36" t="s">
        <v>562</v>
      </c>
      <c r="AP62" s="36" t="s">
        <v>578</v>
      </c>
      <c r="AQ62" s="28" t="s">
        <v>584</v>
      </c>
      <c r="AS62" s="35">
        <f>AM62+AN62</f>
        <v>0</v>
      </c>
      <c r="AT62" s="35">
        <f>F62/(100-AU62)*100</f>
        <v>0</v>
      </c>
      <c r="AU62" s="35">
        <v>0</v>
      </c>
      <c r="AV62" s="35">
        <f>K62</f>
        <v>0</v>
      </c>
    </row>
    <row r="63" spans="1:48" x14ac:dyDescent="0.2">
      <c r="C63" s="15" t="s">
        <v>7</v>
      </c>
      <c r="E63" s="20">
        <v>1</v>
      </c>
    </row>
    <row r="64" spans="1:48" x14ac:dyDescent="0.2">
      <c r="A64" s="4" t="s">
        <v>24</v>
      </c>
      <c r="B64" s="4" t="s">
        <v>150</v>
      </c>
      <c r="C64" s="4" t="s">
        <v>307</v>
      </c>
      <c r="D64" s="4" t="s">
        <v>525</v>
      </c>
      <c r="E64" s="19">
        <v>176</v>
      </c>
      <c r="F64" s="19">
        <v>0</v>
      </c>
      <c r="G64" s="19">
        <f>E64*AE64</f>
        <v>0</v>
      </c>
      <c r="H64" s="19">
        <f>I64-G64</f>
        <v>0</v>
      </c>
      <c r="I64" s="19">
        <f>E64*F64</f>
        <v>0</v>
      </c>
      <c r="J64" s="19">
        <v>0</v>
      </c>
      <c r="K64" s="19">
        <f>E64*J64</f>
        <v>0</v>
      </c>
      <c r="L64" s="31" t="s">
        <v>548</v>
      </c>
      <c r="P64" s="35">
        <f>IF(AG64="5",I64,0)</f>
        <v>0</v>
      </c>
      <c r="R64" s="35">
        <f>IF(AG64="1",G64,0)</f>
        <v>0</v>
      </c>
      <c r="S64" s="35">
        <f>IF(AG64="1",H64,0)</f>
        <v>0</v>
      </c>
      <c r="T64" s="35">
        <f>IF(AG64="7",G64,0)</f>
        <v>0</v>
      </c>
      <c r="U64" s="35">
        <f>IF(AG64="7",H64,0)</f>
        <v>0</v>
      </c>
      <c r="V64" s="35">
        <f>IF(AG64="2",G64,0)</f>
        <v>0</v>
      </c>
      <c r="W64" s="35">
        <f>IF(AG64="2",H64,0)</f>
        <v>0</v>
      </c>
      <c r="X64" s="35">
        <f>IF(AG64="0",I64,0)</f>
        <v>0</v>
      </c>
      <c r="Y64" s="28"/>
      <c r="Z64" s="19">
        <f>IF(AD64=0,I64,0)</f>
        <v>0</v>
      </c>
      <c r="AA64" s="19">
        <f>IF(AD64=15,I64,0)</f>
        <v>0</v>
      </c>
      <c r="AB64" s="19">
        <f>IF(AD64=21,I64,0)</f>
        <v>0</v>
      </c>
      <c r="AD64" s="35">
        <v>21</v>
      </c>
      <c r="AE64" s="35">
        <f>F64*0</f>
        <v>0</v>
      </c>
      <c r="AF64" s="35">
        <f>F64*(1-0)</f>
        <v>0</v>
      </c>
      <c r="AG64" s="31" t="s">
        <v>7</v>
      </c>
      <c r="AM64" s="35">
        <f>E64*AE64</f>
        <v>0</v>
      </c>
      <c r="AN64" s="35">
        <f>E64*AF64</f>
        <v>0</v>
      </c>
      <c r="AO64" s="36" t="s">
        <v>562</v>
      </c>
      <c r="AP64" s="36" t="s">
        <v>578</v>
      </c>
      <c r="AQ64" s="28" t="s">
        <v>584</v>
      </c>
      <c r="AS64" s="35">
        <f>AM64+AN64</f>
        <v>0</v>
      </c>
      <c r="AT64" s="35">
        <f>F64/(100-AU64)*100</f>
        <v>0</v>
      </c>
      <c r="AU64" s="35">
        <v>0</v>
      </c>
      <c r="AV64" s="35">
        <f>K64</f>
        <v>0</v>
      </c>
    </row>
    <row r="65" spans="1:48" x14ac:dyDescent="0.2">
      <c r="C65" s="15" t="s">
        <v>308</v>
      </c>
      <c r="E65" s="20">
        <v>243</v>
      </c>
    </row>
    <row r="66" spans="1:48" x14ac:dyDescent="0.2">
      <c r="C66" s="15" t="s">
        <v>309</v>
      </c>
      <c r="E66" s="20">
        <v>-67</v>
      </c>
    </row>
    <row r="67" spans="1:48" x14ac:dyDescent="0.2">
      <c r="A67" s="4" t="s">
        <v>25</v>
      </c>
      <c r="B67" s="4" t="s">
        <v>151</v>
      </c>
      <c r="C67" s="4" t="s">
        <v>310</v>
      </c>
      <c r="D67" s="4" t="s">
        <v>525</v>
      </c>
      <c r="E67" s="19">
        <v>176</v>
      </c>
      <c r="F67" s="19">
        <v>0</v>
      </c>
      <c r="G67" s="19">
        <f>E67*AE67</f>
        <v>0</v>
      </c>
      <c r="H67" s="19">
        <f>I67-G67</f>
        <v>0</v>
      </c>
      <c r="I67" s="19">
        <f>E67*F67</f>
        <v>0</v>
      </c>
      <c r="J67" s="19">
        <v>0</v>
      </c>
      <c r="K67" s="19">
        <f>E67*J67</f>
        <v>0</v>
      </c>
      <c r="L67" s="31" t="s">
        <v>548</v>
      </c>
      <c r="P67" s="35">
        <f>IF(AG67="5",I67,0)</f>
        <v>0</v>
      </c>
      <c r="R67" s="35">
        <f>IF(AG67="1",G67,0)</f>
        <v>0</v>
      </c>
      <c r="S67" s="35">
        <f>IF(AG67="1",H67,0)</f>
        <v>0</v>
      </c>
      <c r="T67" s="35">
        <f>IF(AG67="7",G67,0)</f>
        <v>0</v>
      </c>
      <c r="U67" s="35">
        <f>IF(AG67="7",H67,0)</f>
        <v>0</v>
      </c>
      <c r="V67" s="35">
        <f>IF(AG67="2",G67,0)</f>
        <v>0</v>
      </c>
      <c r="W67" s="35">
        <f>IF(AG67="2",H67,0)</f>
        <v>0</v>
      </c>
      <c r="X67" s="35">
        <f>IF(AG67="0",I67,0)</f>
        <v>0</v>
      </c>
      <c r="Y67" s="28"/>
      <c r="Z67" s="19">
        <f>IF(AD67=0,I67,0)</f>
        <v>0</v>
      </c>
      <c r="AA67" s="19">
        <f>IF(AD67=15,I67,0)</f>
        <v>0</v>
      </c>
      <c r="AB67" s="19">
        <f>IF(AD67=21,I67,0)</f>
        <v>0</v>
      </c>
      <c r="AD67" s="35">
        <v>21</v>
      </c>
      <c r="AE67" s="35">
        <f>F67*0</f>
        <v>0</v>
      </c>
      <c r="AF67" s="35">
        <f>F67*(1-0)</f>
        <v>0</v>
      </c>
      <c r="AG67" s="31" t="s">
        <v>7</v>
      </c>
      <c r="AM67" s="35">
        <f>E67*AE67</f>
        <v>0</v>
      </c>
      <c r="AN67" s="35">
        <f>E67*AF67</f>
        <v>0</v>
      </c>
      <c r="AO67" s="36" t="s">
        <v>562</v>
      </c>
      <c r="AP67" s="36" t="s">
        <v>578</v>
      </c>
      <c r="AQ67" s="28" t="s">
        <v>584</v>
      </c>
      <c r="AS67" s="35">
        <f>AM67+AN67</f>
        <v>0</v>
      </c>
      <c r="AT67" s="35">
        <f>F67/(100-AU67)*100</f>
        <v>0</v>
      </c>
      <c r="AU67" s="35">
        <v>0</v>
      </c>
      <c r="AV67" s="35">
        <f>K67</f>
        <v>0</v>
      </c>
    </row>
    <row r="68" spans="1:48" x14ac:dyDescent="0.2">
      <c r="C68" s="15" t="s">
        <v>311</v>
      </c>
      <c r="E68" s="20">
        <v>176</v>
      </c>
    </row>
    <row r="69" spans="1:48" x14ac:dyDescent="0.2">
      <c r="A69" s="5"/>
      <c r="B69" s="13" t="s">
        <v>23</v>
      </c>
      <c r="C69" s="13" t="s">
        <v>312</v>
      </c>
      <c r="D69" s="5" t="s">
        <v>6</v>
      </c>
      <c r="E69" s="5" t="s">
        <v>6</v>
      </c>
      <c r="F69" s="5" t="s">
        <v>6</v>
      </c>
      <c r="G69" s="38">
        <f>SUM(G70:G74)</f>
        <v>0</v>
      </c>
      <c r="H69" s="38">
        <f>SUM(H70:H74)</f>
        <v>0</v>
      </c>
      <c r="I69" s="38">
        <f>G69+H69</f>
        <v>0</v>
      </c>
      <c r="J69" s="28"/>
      <c r="K69" s="38">
        <f>SUM(K70:K74)</f>
        <v>0</v>
      </c>
      <c r="L69" s="28"/>
      <c r="Y69" s="28"/>
      <c r="AI69" s="38">
        <f>SUM(Z70:Z74)</f>
        <v>0</v>
      </c>
      <c r="AJ69" s="38">
        <f>SUM(AA70:AA74)</f>
        <v>0</v>
      </c>
      <c r="AK69" s="38">
        <f>SUM(AB70:AB74)</f>
        <v>0</v>
      </c>
    </row>
    <row r="70" spans="1:48" x14ac:dyDescent="0.2">
      <c r="A70" s="4" t="s">
        <v>26</v>
      </c>
      <c r="B70" s="4" t="s">
        <v>152</v>
      </c>
      <c r="C70" s="4" t="s">
        <v>313</v>
      </c>
      <c r="D70" s="4" t="s">
        <v>525</v>
      </c>
      <c r="E70" s="19">
        <v>42</v>
      </c>
      <c r="F70" s="19">
        <v>0</v>
      </c>
      <c r="G70" s="19">
        <f>E70*AE70</f>
        <v>0</v>
      </c>
      <c r="H70" s="19">
        <f>I70-G70</f>
        <v>0</v>
      </c>
      <c r="I70" s="19">
        <f>E70*F70</f>
        <v>0</v>
      </c>
      <c r="J70" s="19">
        <v>0</v>
      </c>
      <c r="K70" s="19">
        <f>E70*J70</f>
        <v>0</v>
      </c>
      <c r="L70" s="31" t="s">
        <v>548</v>
      </c>
      <c r="P70" s="35">
        <f>IF(AG70="5",I70,0)</f>
        <v>0</v>
      </c>
      <c r="R70" s="35">
        <f>IF(AG70="1",G70,0)</f>
        <v>0</v>
      </c>
      <c r="S70" s="35">
        <f>IF(AG70="1",H70,0)</f>
        <v>0</v>
      </c>
      <c r="T70" s="35">
        <f>IF(AG70="7",G70,0)</f>
        <v>0</v>
      </c>
      <c r="U70" s="35">
        <f>IF(AG70="7",H70,0)</f>
        <v>0</v>
      </c>
      <c r="V70" s="35">
        <f>IF(AG70="2",G70,0)</f>
        <v>0</v>
      </c>
      <c r="W70" s="35">
        <f>IF(AG70="2",H70,0)</f>
        <v>0</v>
      </c>
      <c r="X70" s="35">
        <f>IF(AG70="0",I70,0)</f>
        <v>0</v>
      </c>
      <c r="Y70" s="28"/>
      <c r="Z70" s="19">
        <f>IF(AD70=0,I70,0)</f>
        <v>0</v>
      </c>
      <c r="AA70" s="19">
        <f>IF(AD70=15,I70,0)</f>
        <v>0</v>
      </c>
      <c r="AB70" s="19">
        <f>IF(AD70=21,I70,0)</f>
        <v>0</v>
      </c>
      <c r="AD70" s="35">
        <v>21</v>
      </c>
      <c r="AE70" s="35">
        <f>F70*0</f>
        <v>0</v>
      </c>
      <c r="AF70" s="35">
        <f>F70*(1-0)</f>
        <v>0</v>
      </c>
      <c r="AG70" s="31" t="s">
        <v>7</v>
      </c>
      <c r="AM70" s="35">
        <f>E70*AE70</f>
        <v>0</v>
      </c>
      <c r="AN70" s="35">
        <f>E70*AF70</f>
        <v>0</v>
      </c>
      <c r="AO70" s="36" t="s">
        <v>563</v>
      </c>
      <c r="AP70" s="36" t="s">
        <v>578</v>
      </c>
      <c r="AQ70" s="28" t="s">
        <v>584</v>
      </c>
      <c r="AS70" s="35">
        <f>AM70+AN70</f>
        <v>0</v>
      </c>
      <c r="AT70" s="35">
        <f>F70/(100-AU70)*100</f>
        <v>0</v>
      </c>
      <c r="AU70" s="35">
        <v>0</v>
      </c>
      <c r="AV70" s="35">
        <f>K70</f>
        <v>0</v>
      </c>
    </row>
    <row r="71" spans="1:48" x14ac:dyDescent="0.2">
      <c r="C71" s="15" t="s">
        <v>314</v>
      </c>
      <c r="E71" s="20">
        <v>33</v>
      </c>
    </row>
    <row r="72" spans="1:48" x14ac:dyDescent="0.2">
      <c r="C72" s="15" t="s">
        <v>315</v>
      </c>
      <c r="E72" s="20">
        <v>9</v>
      </c>
    </row>
    <row r="73" spans="1:48" x14ac:dyDescent="0.2">
      <c r="B73" s="12" t="s">
        <v>133</v>
      </c>
      <c r="C73" s="112" t="s">
        <v>316</v>
      </c>
      <c r="D73" s="113"/>
      <c r="E73" s="113"/>
      <c r="F73" s="113"/>
      <c r="G73" s="113"/>
      <c r="H73" s="113"/>
      <c r="I73" s="113"/>
      <c r="J73" s="113"/>
      <c r="K73" s="113"/>
      <c r="L73" s="113"/>
    </row>
    <row r="74" spans="1:48" x14ac:dyDescent="0.2">
      <c r="A74" s="4" t="s">
        <v>27</v>
      </c>
      <c r="B74" s="4" t="s">
        <v>153</v>
      </c>
      <c r="C74" s="4" t="s">
        <v>317</v>
      </c>
      <c r="D74" s="4" t="s">
        <v>525</v>
      </c>
      <c r="E74" s="19">
        <v>25</v>
      </c>
      <c r="F74" s="19">
        <v>0</v>
      </c>
      <c r="G74" s="19">
        <f>E74*AE74</f>
        <v>0</v>
      </c>
      <c r="H74" s="19">
        <f>I74-G74</f>
        <v>0</v>
      </c>
      <c r="I74" s="19">
        <f>E74*F74</f>
        <v>0</v>
      </c>
      <c r="J74" s="19">
        <v>0</v>
      </c>
      <c r="K74" s="19">
        <f>E74*J74</f>
        <v>0</v>
      </c>
      <c r="L74" s="31" t="s">
        <v>548</v>
      </c>
      <c r="P74" s="35">
        <f>IF(AG74="5",I74,0)</f>
        <v>0</v>
      </c>
      <c r="R74" s="35">
        <f>IF(AG74="1",G74,0)</f>
        <v>0</v>
      </c>
      <c r="S74" s="35">
        <f>IF(AG74="1",H74,0)</f>
        <v>0</v>
      </c>
      <c r="T74" s="35">
        <f>IF(AG74="7",G74,0)</f>
        <v>0</v>
      </c>
      <c r="U74" s="35">
        <f>IF(AG74="7",H74,0)</f>
        <v>0</v>
      </c>
      <c r="V74" s="35">
        <f>IF(AG74="2",G74,0)</f>
        <v>0</v>
      </c>
      <c r="W74" s="35">
        <f>IF(AG74="2",H74,0)</f>
        <v>0</v>
      </c>
      <c r="X74" s="35">
        <f>IF(AG74="0",I74,0)</f>
        <v>0</v>
      </c>
      <c r="Y74" s="28"/>
      <c r="Z74" s="19">
        <f>IF(AD74=0,I74,0)</f>
        <v>0</v>
      </c>
      <c r="AA74" s="19">
        <f>IF(AD74=15,I74,0)</f>
        <v>0</v>
      </c>
      <c r="AB74" s="19">
        <f>IF(AD74=21,I74,0)</f>
        <v>0</v>
      </c>
      <c r="AD74" s="35">
        <v>21</v>
      </c>
      <c r="AE74" s="35">
        <f>F74*0</f>
        <v>0</v>
      </c>
      <c r="AF74" s="35">
        <f>F74*(1-0)</f>
        <v>0</v>
      </c>
      <c r="AG74" s="31" t="s">
        <v>7</v>
      </c>
      <c r="AM74" s="35">
        <f>E74*AE74</f>
        <v>0</v>
      </c>
      <c r="AN74" s="35">
        <f>E74*AF74</f>
        <v>0</v>
      </c>
      <c r="AO74" s="36" t="s">
        <v>563</v>
      </c>
      <c r="AP74" s="36" t="s">
        <v>578</v>
      </c>
      <c r="AQ74" s="28" t="s">
        <v>584</v>
      </c>
      <c r="AS74" s="35">
        <f>AM74+AN74</f>
        <v>0</v>
      </c>
      <c r="AT74" s="35">
        <f>F74/(100-AU74)*100</f>
        <v>0</v>
      </c>
      <c r="AU74" s="35">
        <v>0</v>
      </c>
      <c r="AV74" s="35">
        <f>K74</f>
        <v>0</v>
      </c>
    </row>
    <row r="75" spans="1:48" x14ac:dyDescent="0.2">
      <c r="C75" s="15" t="s">
        <v>31</v>
      </c>
      <c r="E75" s="20">
        <v>25</v>
      </c>
    </row>
    <row r="76" spans="1:48" x14ac:dyDescent="0.2">
      <c r="B76" s="12" t="s">
        <v>133</v>
      </c>
      <c r="C76" s="112" t="s">
        <v>318</v>
      </c>
      <c r="D76" s="113"/>
      <c r="E76" s="113"/>
      <c r="F76" s="113"/>
      <c r="G76" s="113"/>
      <c r="H76" s="113"/>
      <c r="I76" s="113"/>
      <c r="J76" s="113"/>
      <c r="K76" s="113"/>
      <c r="L76" s="113"/>
    </row>
    <row r="77" spans="1:48" x14ac:dyDescent="0.2">
      <c r="A77" s="5"/>
      <c r="B77" s="13" t="s">
        <v>24</v>
      </c>
      <c r="C77" s="13" t="s">
        <v>319</v>
      </c>
      <c r="D77" s="5" t="s">
        <v>6</v>
      </c>
      <c r="E77" s="5" t="s">
        <v>6</v>
      </c>
      <c r="F77" s="5" t="s">
        <v>6</v>
      </c>
      <c r="G77" s="38">
        <f>SUM(G78:G83)</f>
        <v>0</v>
      </c>
      <c r="H77" s="38">
        <f>SUM(H78:H83)</f>
        <v>0</v>
      </c>
      <c r="I77" s="38">
        <f>G77+H77</f>
        <v>0</v>
      </c>
      <c r="J77" s="28"/>
      <c r="K77" s="38">
        <f>SUM(K78:K83)</f>
        <v>0</v>
      </c>
      <c r="L77" s="28"/>
      <c r="Y77" s="28"/>
      <c r="AI77" s="38">
        <f>SUM(Z78:Z83)</f>
        <v>0</v>
      </c>
      <c r="AJ77" s="38">
        <f>SUM(AA78:AA83)</f>
        <v>0</v>
      </c>
      <c r="AK77" s="38">
        <f>SUM(AB78:AB83)</f>
        <v>0</v>
      </c>
    </row>
    <row r="78" spans="1:48" x14ac:dyDescent="0.2">
      <c r="A78" s="4" t="s">
        <v>28</v>
      </c>
      <c r="B78" s="4" t="s">
        <v>154</v>
      </c>
      <c r="C78" s="4" t="s">
        <v>320</v>
      </c>
      <c r="D78" s="4" t="s">
        <v>523</v>
      </c>
      <c r="E78" s="19">
        <v>402</v>
      </c>
      <c r="F78" s="19">
        <v>0</v>
      </c>
      <c r="G78" s="19">
        <f>E78*AE78</f>
        <v>0</v>
      </c>
      <c r="H78" s="19">
        <f>I78-G78</f>
        <v>0</v>
      </c>
      <c r="I78" s="19">
        <f>E78*F78</f>
        <v>0</v>
      </c>
      <c r="J78" s="19">
        <v>0</v>
      </c>
      <c r="K78" s="19">
        <f>E78*J78</f>
        <v>0</v>
      </c>
      <c r="L78" s="31" t="s">
        <v>548</v>
      </c>
      <c r="P78" s="35">
        <f>IF(AG78="5",I78,0)</f>
        <v>0</v>
      </c>
      <c r="R78" s="35">
        <f>IF(AG78="1",G78,0)</f>
        <v>0</v>
      </c>
      <c r="S78" s="35">
        <f>IF(AG78="1",H78,0)</f>
        <v>0</v>
      </c>
      <c r="T78" s="35">
        <f>IF(AG78="7",G78,0)</f>
        <v>0</v>
      </c>
      <c r="U78" s="35">
        <f>IF(AG78="7",H78,0)</f>
        <v>0</v>
      </c>
      <c r="V78" s="35">
        <f>IF(AG78="2",G78,0)</f>
        <v>0</v>
      </c>
      <c r="W78" s="35">
        <f>IF(AG78="2",H78,0)</f>
        <v>0</v>
      </c>
      <c r="X78" s="35">
        <f>IF(AG78="0",I78,0)</f>
        <v>0</v>
      </c>
      <c r="Y78" s="28"/>
      <c r="Z78" s="19">
        <f>IF(AD78=0,I78,0)</f>
        <v>0</v>
      </c>
      <c r="AA78" s="19">
        <f>IF(AD78=15,I78,0)</f>
        <v>0</v>
      </c>
      <c r="AB78" s="19">
        <f>IF(AD78=21,I78,0)</f>
        <v>0</v>
      </c>
      <c r="AD78" s="35">
        <v>21</v>
      </c>
      <c r="AE78" s="35">
        <f>F78*0</f>
        <v>0</v>
      </c>
      <c r="AF78" s="35">
        <f>F78*(1-0)</f>
        <v>0</v>
      </c>
      <c r="AG78" s="31" t="s">
        <v>7</v>
      </c>
      <c r="AM78" s="35">
        <f>E78*AE78</f>
        <v>0</v>
      </c>
      <c r="AN78" s="35">
        <f>E78*AF78</f>
        <v>0</v>
      </c>
      <c r="AO78" s="36" t="s">
        <v>564</v>
      </c>
      <c r="AP78" s="36" t="s">
        <v>578</v>
      </c>
      <c r="AQ78" s="28" t="s">
        <v>584</v>
      </c>
      <c r="AS78" s="35">
        <f>AM78+AN78</f>
        <v>0</v>
      </c>
      <c r="AT78" s="35">
        <f>F78/(100-AU78)*100</f>
        <v>0</v>
      </c>
      <c r="AU78" s="35">
        <v>0</v>
      </c>
      <c r="AV78" s="35">
        <f>K78</f>
        <v>0</v>
      </c>
    </row>
    <row r="79" spans="1:48" x14ac:dyDescent="0.2">
      <c r="C79" s="15" t="s">
        <v>321</v>
      </c>
      <c r="E79" s="20">
        <v>30</v>
      </c>
    </row>
    <row r="80" spans="1:48" x14ac:dyDescent="0.2">
      <c r="C80" s="15" t="s">
        <v>322</v>
      </c>
      <c r="E80" s="20">
        <v>227</v>
      </c>
    </row>
    <row r="81" spans="1:48" x14ac:dyDescent="0.2">
      <c r="C81" s="15" t="s">
        <v>323</v>
      </c>
      <c r="E81" s="20">
        <v>145</v>
      </c>
    </row>
    <row r="82" spans="1:48" x14ac:dyDescent="0.2">
      <c r="B82" s="12" t="s">
        <v>133</v>
      </c>
      <c r="C82" s="112" t="s">
        <v>324</v>
      </c>
      <c r="D82" s="113"/>
      <c r="E82" s="113"/>
      <c r="F82" s="113"/>
      <c r="G82" s="113"/>
      <c r="H82" s="113"/>
      <c r="I82" s="113"/>
      <c r="J82" s="113"/>
      <c r="K82" s="113"/>
      <c r="L82" s="113"/>
    </row>
    <row r="83" spans="1:48" x14ac:dyDescent="0.2">
      <c r="A83" s="4" t="s">
        <v>29</v>
      </c>
      <c r="B83" s="4" t="s">
        <v>155</v>
      </c>
      <c r="C83" s="4" t="s">
        <v>325</v>
      </c>
      <c r="D83" s="4" t="s">
        <v>523</v>
      </c>
      <c r="E83" s="19">
        <v>95.2</v>
      </c>
      <c r="F83" s="19">
        <v>0</v>
      </c>
      <c r="G83" s="19">
        <f>E83*AE83</f>
        <v>0</v>
      </c>
      <c r="H83" s="19">
        <f>I83-G83</f>
        <v>0</v>
      </c>
      <c r="I83" s="19">
        <f>E83*F83</f>
        <v>0</v>
      </c>
      <c r="J83" s="19">
        <v>0</v>
      </c>
      <c r="K83" s="19">
        <f>E83*J83</f>
        <v>0</v>
      </c>
      <c r="L83" s="31" t="s">
        <v>548</v>
      </c>
      <c r="P83" s="35">
        <f>IF(AG83="5",I83,0)</f>
        <v>0</v>
      </c>
      <c r="R83" s="35">
        <f>IF(AG83="1",G83,0)</f>
        <v>0</v>
      </c>
      <c r="S83" s="35">
        <f>IF(AG83="1",H83,0)</f>
        <v>0</v>
      </c>
      <c r="T83" s="35">
        <f>IF(AG83="7",G83,0)</f>
        <v>0</v>
      </c>
      <c r="U83" s="35">
        <f>IF(AG83="7",H83,0)</f>
        <v>0</v>
      </c>
      <c r="V83" s="35">
        <f>IF(AG83="2",G83,0)</f>
        <v>0</v>
      </c>
      <c r="W83" s="35">
        <f>IF(AG83="2",H83,0)</f>
        <v>0</v>
      </c>
      <c r="X83" s="35">
        <f>IF(AG83="0",I83,0)</f>
        <v>0</v>
      </c>
      <c r="Y83" s="28"/>
      <c r="Z83" s="19">
        <f>IF(AD83=0,I83,0)</f>
        <v>0</v>
      </c>
      <c r="AA83" s="19">
        <f>IF(AD83=15,I83,0)</f>
        <v>0</v>
      </c>
      <c r="AB83" s="19">
        <f>IF(AD83=21,I83,0)</f>
        <v>0</v>
      </c>
      <c r="AD83" s="35">
        <v>21</v>
      </c>
      <c r="AE83" s="35">
        <f>F83*0</f>
        <v>0</v>
      </c>
      <c r="AF83" s="35">
        <f>F83*(1-0)</f>
        <v>0</v>
      </c>
      <c r="AG83" s="31" t="s">
        <v>7</v>
      </c>
      <c r="AM83" s="35">
        <f>E83*AE83</f>
        <v>0</v>
      </c>
      <c r="AN83" s="35">
        <f>E83*AF83</f>
        <v>0</v>
      </c>
      <c r="AO83" s="36" t="s">
        <v>564</v>
      </c>
      <c r="AP83" s="36" t="s">
        <v>578</v>
      </c>
      <c r="AQ83" s="28" t="s">
        <v>584</v>
      </c>
      <c r="AS83" s="35">
        <f>AM83+AN83</f>
        <v>0</v>
      </c>
      <c r="AT83" s="35">
        <f>F83/(100-AU83)*100</f>
        <v>0</v>
      </c>
      <c r="AU83" s="35">
        <v>0</v>
      </c>
      <c r="AV83" s="35">
        <f>K83</f>
        <v>0</v>
      </c>
    </row>
    <row r="84" spans="1:48" x14ac:dyDescent="0.2">
      <c r="C84" s="15" t="s">
        <v>326</v>
      </c>
      <c r="E84" s="20">
        <v>95.2</v>
      </c>
    </row>
    <row r="85" spans="1:48" x14ac:dyDescent="0.2">
      <c r="B85" s="12" t="s">
        <v>133</v>
      </c>
      <c r="C85" s="112" t="s">
        <v>327</v>
      </c>
      <c r="D85" s="113"/>
      <c r="E85" s="113"/>
      <c r="F85" s="113"/>
      <c r="G85" s="113"/>
      <c r="H85" s="113"/>
      <c r="I85" s="113"/>
      <c r="J85" s="113"/>
      <c r="K85" s="113"/>
      <c r="L85" s="113"/>
    </row>
    <row r="86" spans="1:48" x14ac:dyDescent="0.2">
      <c r="A86" s="5"/>
      <c r="B86" s="13" t="s">
        <v>62</v>
      </c>
      <c r="C86" s="13" t="s">
        <v>328</v>
      </c>
      <c r="D86" s="5" t="s">
        <v>6</v>
      </c>
      <c r="E86" s="5" t="s">
        <v>6</v>
      </c>
      <c r="F86" s="5" t="s">
        <v>6</v>
      </c>
      <c r="G86" s="38">
        <f>SUM(G87:G97)</f>
        <v>0</v>
      </c>
      <c r="H86" s="38">
        <f>SUM(H87:H97)</f>
        <v>0</v>
      </c>
      <c r="I86" s="38">
        <f>G86+H86</f>
        <v>0</v>
      </c>
      <c r="J86" s="28"/>
      <c r="K86" s="38">
        <f>SUM(K87:K97)</f>
        <v>275.82170099999996</v>
      </c>
      <c r="L86" s="28"/>
      <c r="Y86" s="28"/>
      <c r="AI86" s="38">
        <f>SUM(Z87:Z97)</f>
        <v>0</v>
      </c>
      <c r="AJ86" s="38">
        <f>SUM(AA87:AA97)</f>
        <v>0</v>
      </c>
      <c r="AK86" s="38">
        <f>SUM(AB87:AB97)</f>
        <v>0</v>
      </c>
    </row>
    <row r="87" spans="1:48" x14ac:dyDescent="0.2">
      <c r="A87" s="4" t="s">
        <v>30</v>
      </c>
      <c r="B87" s="4" t="s">
        <v>156</v>
      </c>
      <c r="C87" s="4" t="s">
        <v>329</v>
      </c>
      <c r="D87" s="4" t="s">
        <v>523</v>
      </c>
      <c r="E87" s="19">
        <v>34.1</v>
      </c>
      <c r="F87" s="19">
        <v>0</v>
      </c>
      <c r="G87" s="19">
        <f>E87*AE87</f>
        <v>0</v>
      </c>
      <c r="H87" s="19">
        <f>I87-G87</f>
        <v>0</v>
      </c>
      <c r="I87" s="19">
        <f>E87*F87</f>
        <v>0</v>
      </c>
      <c r="J87" s="19">
        <v>0.26375999999999999</v>
      </c>
      <c r="K87" s="19">
        <f>E87*J87</f>
        <v>8.9942159999999998</v>
      </c>
      <c r="L87" s="31" t="s">
        <v>548</v>
      </c>
      <c r="P87" s="35">
        <f>IF(AG87="5",I87,0)</f>
        <v>0</v>
      </c>
      <c r="R87" s="35">
        <f>IF(AG87="1",G87,0)</f>
        <v>0</v>
      </c>
      <c r="S87" s="35">
        <f>IF(AG87="1",H87,0)</f>
        <v>0</v>
      </c>
      <c r="T87" s="35">
        <f>IF(AG87="7",G87,0)</f>
        <v>0</v>
      </c>
      <c r="U87" s="35">
        <f>IF(AG87="7",H87,0)</f>
        <v>0</v>
      </c>
      <c r="V87" s="35">
        <f>IF(AG87="2",G87,0)</f>
        <v>0</v>
      </c>
      <c r="W87" s="35">
        <f>IF(AG87="2",H87,0)</f>
        <v>0</v>
      </c>
      <c r="X87" s="35">
        <f>IF(AG87="0",I87,0)</f>
        <v>0</v>
      </c>
      <c r="Y87" s="28"/>
      <c r="Z87" s="19">
        <f>IF(AD87=0,I87,0)</f>
        <v>0</v>
      </c>
      <c r="AA87" s="19">
        <f>IF(AD87=15,I87,0)</f>
        <v>0</v>
      </c>
      <c r="AB87" s="19">
        <f>IF(AD87=21,I87,0)</f>
        <v>0</v>
      </c>
      <c r="AD87" s="35">
        <v>21</v>
      </c>
      <c r="AE87" s="35">
        <f>F87*0.837419819968081</f>
        <v>0</v>
      </c>
      <c r="AF87" s="35">
        <f>F87*(1-0.837419819968081)</f>
        <v>0</v>
      </c>
      <c r="AG87" s="31" t="s">
        <v>7</v>
      </c>
      <c r="AM87" s="35">
        <f>E87*AE87</f>
        <v>0</v>
      </c>
      <c r="AN87" s="35">
        <f>E87*AF87</f>
        <v>0</v>
      </c>
      <c r="AO87" s="36" t="s">
        <v>565</v>
      </c>
      <c r="AP87" s="36" t="s">
        <v>579</v>
      </c>
      <c r="AQ87" s="28" t="s">
        <v>584</v>
      </c>
      <c r="AS87" s="35">
        <f>AM87+AN87</f>
        <v>0</v>
      </c>
      <c r="AT87" s="35">
        <f>F87/(100-AU87)*100</f>
        <v>0</v>
      </c>
      <c r="AU87" s="35">
        <v>0</v>
      </c>
      <c r="AV87" s="35">
        <f>K87</f>
        <v>8.9942159999999998</v>
      </c>
    </row>
    <row r="88" spans="1:48" x14ac:dyDescent="0.2">
      <c r="C88" s="15" t="s">
        <v>330</v>
      </c>
      <c r="E88" s="20">
        <v>34.1</v>
      </c>
    </row>
    <row r="89" spans="1:48" x14ac:dyDescent="0.2">
      <c r="A89" s="4" t="s">
        <v>31</v>
      </c>
      <c r="B89" s="4" t="s">
        <v>157</v>
      </c>
      <c r="C89" s="4" t="s">
        <v>331</v>
      </c>
      <c r="D89" s="4" t="s">
        <v>523</v>
      </c>
      <c r="E89" s="19">
        <v>111</v>
      </c>
      <c r="F89" s="19">
        <v>0</v>
      </c>
      <c r="G89" s="19">
        <f>E89*AE89</f>
        <v>0</v>
      </c>
      <c r="H89" s="19">
        <f>I89-G89</f>
        <v>0</v>
      </c>
      <c r="I89" s="19">
        <f>E89*F89</f>
        <v>0</v>
      </c>
      <c r="J89" s="19">
        <v>0.38313999999999998</v>
      </c>
      <c r="K89" s="19">
        <f>E89*J89</f>
        <v>42.52854</v>
      </c>
      <c r="L89" s="31" t="s">
        <v>548</v>
      </c>
      <c r="P89" s="35">
        <f>IF(AG89="5",I89,0)</f>
        <v>0</v>
      </c>
      <c r="R89" s="35">
        <f>IF(AG89="1",G89,0)</f>
        <v>0</v>
      </c>
      <c r="S89" s="35">
        <f>IF(AG89="1",H89,0)</f>
        <v>0</v>
      </c>
      <c r="T89" s="35">
        <f>IF(AG89="7",G89,0)</f>
        <v>0</v>
      </c>
      <c r="U89" s="35">
        <f>IF(AG89="7",H89,0)</f>
        <v>0</v>
      </c>
      <c r="V89" s="35">
        <f>IF(AG89="2",G89,0)</f>
        <v>0</v>
      </c>
      <c r="W89" s="35">
        <f>IF(AG89="2",H89,0)</f>
        <v>0</v>
      </c>
      <c r="X89" s="35">
        <f>IF(AG89="0",I89,0)</f>
        <v>0</v>
      </c>
      <c r="Y89" s="28"/>
      <c r="Z89" s="19">
        <f>IF(AD89=0,I89,0)</f>
        <v>0</v>
      </c>
      <c r="AA89" s="19">
        <f>IF(AD89=15,I89,0)</f>
        <v>0</v>
      </c>
      <c r="AB89" s="19">
        <f>IF(AD89=21,I89,0)</f>
        <v>0</v>
      </c>
      <c r="AD89" s="35">
        <v>21</v>
      </c>
      <c r="AE89" s="35">
        <f>F89*0.872950191570881</f>
        <v>0</v>
      </c>
      <c r="AF89" s="35">
        <f>F89*(1-0.872950191570881)</f>
        <v>0</v>
      </c>
      <c r="AG89" s="31" t="s">
        <v>7</v>
      </c>
      <c r="AM89" s="35">
        <f>E89*AE89</f>
        <v>0</v>
      </c>
      <c r="AN89" s="35">
        <f>E89*AF89</f>
        <v>0</v>
      </c>
      <c r="AO89" s="36" t="s">
        <v>565</v>
      </c>
      <c r="AP89" s="36" t="s">
        <v>579</v>
      </c>
      <c r="AQ89" s="28" t="s">
        <v>584</v>
      </c>
      <c r="AS89" s="35">
        <f>AM89+AN89</f>
        <v>0</v>
      </c>
      <c r="AT89" s="35">
        <f>F89/(100-AU89)*100</f>
        <v>0</v>
      </c>
      <c r="AU89" s="35">
        <v>0</v>
      </c>
      <c r="AV89" s="35">
        <f>K89</f>
        <v>42.52854</v>
      </c>
    </row>
    <row r="90" spans="1:48" x14ac:dyDescent="0.2">
      <c r="C90" s="15" t="s">
        <v>117</v>
      </c>
      <c r="E90" s="20">
        <v>111</v>
      </c>
    </row>
    <row r="91" spans="1:48" x14ac:dyDescent="0.2">
      <c r="A91" s="4" t="s">
        <v>32</v>
      </c>
      <c r="B91" s="4" t="s">
        <v>158</v>
      </c>
      <c r="C91" s="4" t="s">
        <v>332</v>
      </c>
      <c r="D91" s="4" t="s">
        <v>523</v>
      </c>
      <c r="E91" s="19">
        <v>13.5</v>
      </c>
      <c r="F91" s="19">
        <v>0</v>
      </c>
      <c r="G91" s="19">
        <f>E91*AE91</f>
        <v>0</v>
      </c>
      <c r="H91" s="19">
        <f>I91-G91</f>
        <v>0</v>
      </c>
      <c r="I91" s="19">
        <f>E91*F91</f>
        <v>0</v>
      </c>
      <c r="J91" s="19">
        <v>0.63856999999999997</v>
      </c>
      <c r="K91" s="19">
        <f>E91*J91</f>
        <v>8.6206949999999996</v>
      </c>
      <c r="L91" s="31" t="s">
        <v>548</v>
      </c>
      <c r="P91" s="35">
        <f>IF(AG91="5",I91,0)</f>
        <v>0</v>
      </c>
      <c r="R91" s="35">
        <f>IF(AG91="1",G91,0)</f>
        <v>0</v>
      </c>
      <c r="S91" s="35">
        <f>IF(AG91="1",H91,0)</f>
        <v>0</v>
      </c>
      <c r="T91" s="35">
        <f>IF(AG91="7",G91,0)</f>
        <v>0</v>
      </c>
      <c r="U91" s="35">
        <f>IF(AG91="7",H91,0)</f>
        <v>0</v>
      </c>
      <c r="V91" s="35">
        <f>IF(AG91="2",G91,0)</f>
        <v>0</v>
      </c>
      <c r="W91" s="35">
        <f>IF(AG91="2",H91,0)</f>
        <v>0</v>
      </c>
      <c r="X91" s="35">
        <f>IF(AG91="0",I91,0)</f>
        <v>0</v>
      </c>
      <c r="Y91" s="28"/>
      <c r="Z91" s="19">
        <f>IF(AD91=0,I91,0)</f>
        <v>0</v>
      </c>
      <c r="AA91" s="19">
        <f>IF(AD91=15,I91,0)</f>
        <v>0</v>
      </c>
      <c r="AB91" s="19">
        <f>IF(AD91=21,I91,0)</f>
        <v>0</v>
      </c>
      <c r="AD91" s="35">
        <v>21</v>
      </c>
      <c r="AE91" s="35">
        <f>F91*0.907071306380643</f>
        <v>0</v>
      </c>
      <c r="AF91" s="35">
        <f>F91*(1-0.907071306380643)</f>
        <v>0</v>
      </c>
      <c r="AG91" s="31" t="s">
        <v>7</v>
      </c>
      <c r="AM91" s="35">
        <f>E91*AE91</f>
        <v>0</v>
      </c>
      <c r="AN91" s="35">
        <f>E91*AF91</f>
        <v>0</v>
      </c>
      <c r="AO91" s="36" t="s">
        <v>565</v>
      </c>
      <c r="AP91" s="36" t="s">
        <v>579</v>
      </c>
      <c r="AQ91" s="28" t="s">
        <v>584</v>
      </c>
      <c r="AS91" s="35">
        <f>AM91+AN91</f>
        <v>0</v>
      </c>
      <c r="AT91" s="35">
        <f>F91/(100-AU91)*100</f>
        <v>0</v>
      </c>
      <c r="AU91" s="35">
        <v>0</v>
      </c>
      <c r="AV91" s="35">
        <f>K91</f>
        <v>8.6206949999999996</v>
      </c>
    </row>
    <row r="92" spans="1:48" x14ac:dyDescent="0.2">
      <c r="C92" s="15" t="s">
        <v>333</v>
      </c>
      <c r="E92" s="20">
        <v>13.5</v>
      </c>
    </row>
    <row r="93" spans="1:48" x14ac:dyDescent="0.2">
      <c r="A93" s="4" t="s">
        <v>33</v>
      </c>
      <c r="B93" s="4" t="s">
        <v>159</v>
      </c>
      <c r="C93" s="4" t="s">
        <v>334</v>
      </c>
      <c r="D93" s="4" t="s">
        <v>523</v>
      </c>
      <c r="E93" s="19">
        <v>225</v>
      </c>
      <c r="F93" s="19">
        <v>0</v>
      </c>
      <c r="G93" s="19">
        <f>E93*AE93</f>
        <v>0</v>
      </c>
      <c r="H93" s="19">
        <f>I93-G93</f>
        <v>0</v>
      </c>
      <c r="I93" s="19">
        <f>E93*F93</f>
        <v>0</v>
      </c>
      <c r="J93" s="19">
        <v>0.378</v>
      </c>
      <c r="K93" s="19">
        <f>E93*J93</f>
        <v>85.05</v>
      </c>
      <c r="L93" s="31" t="s">
        <v>548</v>
      </c>
      <c r="P93" s="35">
        <f>IF(AG93="5",I93,0)</f>
        <v>0</v>
      </c>
      <c r="R93" s="35">
        <f>IF(AG93="1",G93,0)</f>
        <v>0</v>
      </c>
      <c r="S93" s="35">
        <f>IF(AG93="1",H93,0)</f>
        <v>0</v>
      </c>
      <c r="T93" s="35">
        <f>IF(AG93="7",G93,0)</f>
        <v>0</v>
      </c>
      <c r="U93" s="35">
        <f>IF(AG93="7",H93,0)</f>
        <v>0</v>
      </c>
      <c r="V93" s="35">
        <f>IF(AG93="2",G93,0)</f>
        <v>0</v>
      </c>
      <c r="W93" s="35">
        <f>IF(AG93="2",H93,0)</f>
        <v>0</v>
      </c>
      <c r="X93" s="35">
        <f>IF(AG93="0",I93,0)</f>
        <v>0</v>
      </c>
      <c r="Y93" s="28"/>
      <c r="Z93" s="19">
        <f>IF(AD93=0,I93,0)</f>
        <v>0</v>
      </c>
      <c r="AA93" s="19">
        <f>IF(AD93=15,I93,0)</f>
        <v>0</v>
      </c>
      <c r="AB93" s="19">
        <f>IF(AD93=21,I93,0)</f>
        <v>0</v>
      </c>
      <c r="AD93" s="35">
        <v>21</v>
      </c>
      <c r="AE93" s="35">
        <f>F93*0.865457208856837</f>
        <v>0</v>
      </c>
      <c r="AF93" s="35">
        <f>F93*(1-0.865457208856837)</f>
        <v>0</v>
      </c>
      <c r="AG93" s="31" t="s">
        <v>7</v>
      </c>
      <c r="AM93" s="35">
        <f>E93*AE93</f>
        <v>0</v>
      </c>
      <c r="AN93" s="35">
        <f>E93*AF93</f>
        <v>0</v>
      </c>
      <c r="AO93" s="36" t="s">
        <v>565</v>
      </c>
      <c r="AP93" s="36" t="s">
        <v>579</v>
      </c>
      <c r="AQ93" s="28" t="s">
        <v>584</v>
      </c>
      <c r="AS93" s="35">
        <f>AM93+AN93</f>
        <v>0</v>
      </c>
      <c r="AT93" s="35">
        <f>F93/(100-AU93)*100</f>
        <v>0</v>
      </c>
      <c r="AU93" s="35">
        <v>0</v>
      </c>
      <c r="AV93" s="35">
        <f>K93</f>
        <v>85.05</v>
      </c>
    </row>
    <row r="94" spans="1:48" x14ac:dyDescent="0.2">
      <c r="C94" s="15" t="s">
        <v>335</v>
      </c>
      <c r="E94" s="20">
        <v>225</v>
      </c>
    </row>
    <row r="95" spans="1:48" x14ac:dyDescent="0.2">
      <c r="A95" s="4" t="s">
        <v>34</v>
      </c>
      <c r="B95" s="4" t="s">
        <v>160</v>
      </c>
      <c r="C95" s="4" t="s">
        <v>336</v>
      </c>
      <c r="D95" s="4" t="s">
        <v>523</v>
      </c>
      <c r="E95" s="19">
        <v>133</v>
      </c>
      <c r="F95" s="19">
        <v>0</v>
      </c>
      <c r="G95" s="19">
        <f>E95*AE95</f>
        <v>0</v>
      </c>
      <c r="H95" s="19">
        <f>I95-G95</f>
        <v>0</v>
      </c>
      <c r="I95" s="19">
        <f>E95*F95</f>
        <v>0</v>
      </c>
      <c r="J95" s="19">
        <v>0.55125000000000002</v>
      </c>
      <c r="K95" s="19">
        <f>E95*J95</f>
        <v>73.316249999999997</v>
      </c>
      <c r="L95" s="31" t="s">
        <v>548</v>
      </c>
      <c r="P95" s="35">
        <f>IF(AG95="5",I95,0)</f>
        <v>0</v>
      </c>
      <c r="R95" s="35">
        <f>IF(AG95="1",G95,0)</f>
        <v>0</v>
      </c>
      <c r="S95" s="35">
        <f>IF(AG95="1",H95,0)</f>
        <v>0</v>
      </c>
      <c r="T95" s="35">
        <f>IF(AG95="7",G95,0)</f>
        <v>0</v>
      </c>
      <c r="U95" s="35">
        <f>IF(AG95="7",H95,0)</f>
        <v>0</v>
      </c>
      <c r="V95" s="35">
        <f>IF(AG95="2",G95,0)</f>
        <v>0</v>
      </c>
      <c r="W95" s="35">
        <f>IF(AG95="2",H95,0)</f>
        <v>0</v>
      </c>
      <c r="X95" s="35">
        <f>IF(AG95="0",I95,0)</f>
        <v>0</v>
      </c>
      <c r="Y95" s="28"/>
      <c r="Z95" s="19">
        <f>IF(AD95=0,I95,0)</f>
        <v>0</v>
      </c>
      <c r="AA95" s="19">
        <f>IF(AD95=15,I95,0)</f>
        <v>0</v>
      </c>
      <c r="AB95" s="19">
        <f>IF(AD95=21,I95,0)</f>
        <v>0</v>
      </c>
      <c r="AD95" s="35">
        <v>21</v>
      </c>
      <c r="AE95" s="35">
        <f>F95*0.883897637795276</f>
        <v>0</v>
      </c>
      <c r="AF95" s="35">
        <f>F95*(1-0.883897637795276)</f>
        <v>0</v>
      </c>
      <c r="AG95" s="31" t="s">
        <v>7</v>
      </c>
      <c r="AM95" s="35">
        <f>E95*AE95</f>
        <v>0</v>
      </c>
      <c r="AN95" s="35">
        <f>E95*AF95</f>
        <v>0</v>
      </c>
      <c r="AO95" s="36" t="s">
        <v>565</v>
      </c>
      <c r="AP95" s="36" t="s">
        <v>579</v>
      </c>
      <c r="AQ95" s="28" t="s">
        <v>584</v>
      </c>
      <c r="AS95" s="35">
        <f>AM95+AN95</f>
        <v>0</v>
      </c>
      <c r="AT95" s="35">
        <f>F95/(100-AU95)*100</f>
        <v>0</v>
      </c>
      <c r="AU95" s="35">
        <v>0</v>
      </c>
      <c r="AV95" s="35">
        <f>K95</f>
        <v>73.316249999999997</v>
      </c>
    </row>
    <row r="96" spans="1:48" x14ac:dyDescent="0.2">
      <c r="C96" s="15" t="s">
        <v>337</v>
      </c>
      <c r="E96" s="20">
        <v>133</v>
      </c>
    </row>
    <row r="97" spans="1:48" x14ac:dyDescent="0.2">
      <c r="A97" s="4" t="s">
        <v>35</v>
      </c>
      <c r="B97" s="4" t="s">
        <v>161</v>
      </c>
      <c r="C97" s="4" t="s">
        <v>338</v>
      </c>
      <c r="D97" s="4" t="s">
        <v>523</v>
      </c>
      <c r="E97" s="19">
        <v>199</v>
      </c>
      <c r="F97" s="19">
        <v>0</v>
      </c>
      <c r="G97" s="19">
        <f>E97*AE97</f>
        <v>0</v>
      </c>
      <c r="H97" s="19">
        <f>I97-G97</f>
        <v>0</v>
      </c>
      <c r="I97" s="19">
        <f>E97*F97</f>
        <v>0</v>
      </c>
      <c r="J97" s="19">
        <v>0.28799999999999998</v>
      </c>
      <c r="K97" s="19">
        <f>E97*J97</f>
        <v>57.311999999999998</v>
      </c>
      <c r="L97" s="31" t="s">
        <v>548</v>
      </c>
      <c r="P97" s="35">
        <f>IF(AG97="5",I97,0)</f>
        <v>0</v>
      </c>
      <c r="R97" s="35">
        <f>IF(AG97="1",G97,0)</f>
        <v>0</v>
      </c>
      <c r="S97" s="35">
        <f>IF(AG97="1",H97,0)</f>
        <v>0</v>
      </c>
      <c r="T97" s="35">
        <f>IF(AG97="7",G97,0)</f>
        <v>0</v>
      </c>
      <c r="U97" s="35">
        <f>IF(AG97="7",H97,0)</f>
        <v>0</v>
      </c>
      <c r="V97" s="35">
        <f>IF(AG97="2",G97,0)</f>
        <v>0</v>
      </c>
      <c r="W97" s="35">
        <f>IF(AG97="2",H97,0)</f>
        <v>0</v>
      </c>
      <c r="X97" s="35">
        <f>IF(AG97="0",I97,0)</f>
        <v>0</v>
      </c>
      <c r="Y97" s="28"/>
      <c r="Z97" s="19">
        <f>IF(AD97=0,I97,0)</f>
        <v>0</v>
      </c>
      <c r="AA97" s="19">
        <f>IF(AD97=15,I97,0)</f>
        <v>0</v>
      </c>
      <c r="AB97" s="19">
        <f>IF(AD97=21,I97,0)</f>
        <v>0</v>
      </c>
      <c r="AD97" s="35">
        <v>21</v>
      </c>
      <c r="AE97" s="35">
        <f>F97*0.852716561204451</f>
        <v>0</v>
      </c>
      <c r="AF97" s="35">
        <f>F97*(1-0.852716561204451)</f>
        <v>0</v>
      </c>
      <c r="AG97" s="31" t="s">
        <v>7</v>
      </c>
      <c r="AM97" s="35">
        <f>E97*AE97</f>
        <v>0</v>
      </c>
      <c r="AN97" s="35">
        <f>E97*AF97</f>
        <v>0</v>
      </c>
      <c r="AO97" s="36" t="s">
        <v>565</v>
      </c>
      <c r="AP97" s="36" t="s">
        <v>579</v>
      </c>
      <c r="AQ97" s="28" t="s">
        <v>584</v>
      </c>
      <c r="AS97" s="35">
        <f>AM97+AN97</f>
        <v>0</v>
      </c>
      <c r="AT97" s="35">
        <f>F97/(100-AU97)*100</f>
        <v>0</v>
      </c>
      <c r="AU97" s="35">
        <v>0</v>
      </c>
      <c r="AV97" s="35">
        <f>K97</f>
        <v>57.311999999999998</v>
      </c>
    </row>
    <row r="98" spans="1:48" x14ac:dyDescent="0.2">
      <c r="C98" s="15" t="s">
        <v>339</v>
      </c>
      <c r="E98" s="20">
        <v>199</v>
      </c>
    </row>
    <row r="99" spans="1:48" x14ac:dyDescent="0.2">
      <c r="A99" s="5"/>
      <c r="B99" s="13" t="s">
        <v>63</v>
      </c>
      <c r="C99" s="13" t="s">
        <v>340</v>
      </c>
      <c r="D99" s="5" t="s">
        <v>6</v>
      </c>
      <c r="E99" s="5" t="s">
        <v>6</v>
      </c>
      <c r="F99" s="5" t="s">
        <v>6</v>
      </c>
      <c r="G99" s="38">
        <f>SUM(G100:G107)</f>
        <v>0</v>
      </c>
      <c r="H99" s="38">
        <f>SUM(H100:H107)</f>
        <v>0</v>
      </c>
      <c r="I99" s="38">
        <f>G99+H99</f>
        <v>0</v>
      </c>
      <c r="J99" s="28"/>
      <c r="K99" s="38">
        <f>SUM(K100:K107)</f>
        <v>14.275088999999999</v>
      </c>
      <c r="L99" s="28"/>
      <c r="Y99" s="28"/>
      <c r="AI99" s="38">
        <f>SUM(Z100:Z107)</f>
        <v>0</v>
      </c>
      <c r="AJ99" s="38">
        <f>SUM(AA100:AA107)</f>
        <v>0</v>
      </c>
      <c r="AK99" s="38">
        <f>SUM(AB100:AB107)</f>
        <v>0</v>
      </c>
    </row>
    <row r="100" spans="1:48" x14ac:dyDescent="0.2">
      <c r="A100" s="4" t="s">
        <v>36</v>
      </c>
      <c r="B100" s="4" t="s">
        <v>162</v>
      </c>
      <c r="C100" s="4" t="s">
        <v>341</v>
      </c>
      <c r="D100" s="4" t="s">
        <v>523</v>
      </c>
      <c r="E100" s="19">
        <v>65</v>
      </c>
      <c r="F100" s="19">
        <v>0</v>
      </c>
      <c r="G100" s="19">
        <f>E100*AE100</f>
        <v>0</v>
      </c>
      <c r="H100" s="19">
        <f>I100-G100</f>
        <v>0</v>
      </c>
      <c r="I100" s="19">
        <f>E100*F100</f>
        <v>0</v>
      </c>
      <c r="J100" s="19">
        <v>0.12966</v>
      </c>
      <c r="K100" s="19">
        <f>E100*J100</f>
        <v>8.4278999999999993</v>
      </c>
      <c r="L100" s="31" t="s">
        <v>548</v>
      </c>
      <c r="P100" s="35">
        <f>IF(AG100="5",I100,0)</f>
        <v>0</v>
      </c>
      <c r="R100" s="35">
        <f>IF(AG100="1",G100,0)</f>
        <v>0</v>
      </c>
      <c r="S100" s="35">
        <f>IF(AG100="1",H100,0)</f>
        <v>0</v>
      </c>
      <c r="T100" s="35">
        <f>IF(AG100="7",G100,0)</f>
        <v>0</v>
      </c>
      <c r="U100" s="35">
        <f>IF(AG100="7",H100,0)</f>
        <v>0</v>
      </c>
      <c r="V100" s="35">
        <f>IF(AG100="2",G100,0)</f>
        <v>0</v>
      </c>
      <c r="W100" s="35">
        <f>IF(AG100="2",H100,0)</f>
        <v>0</v>
      </c>
      <c r="X100" s="35">
        <f>IF(AG100="0",I100,0)</f>
        <v>0</v>
      </c>
      <c r="Y100" s="28"/>
      <c r="Z100" s="19">
        <f>IF(AD100=0,I100,0)</f>
        <v>0</v>
      </c>
      <c r="AA100" s="19">
        <f>IF(AD100=15,I100,0)</f>
        <v>0</v>
      </c>
      <c r="AB100" s="19">
        <f>IF(AD100=21,I100,0)</f>
        <v>0</v>
      </c>
      <c r="AD100" s="35">
        <v>21</v>
      </c>
      <c r="AE100" s="35">
        <f>F100*0.786459259259259</f>
        <v>0</v>
      </c>
      <c r="AF100" s="35">
        <f>F100*(1-0.786459259259259)</f>
        <v>0</v>
      </c>
      <c r="AG100" s="31" t="s">
        <v>7</v>
      </c>
      <c r="AM100" s="35">
        <f>E100*AE100</f>
        <v>0</v>
      </c>
      <c r="AN100" s="35">
        <f>E100*AF100</f>
        <v>0</v>
      </c>
      <c r="AO100" s="36" t="s">
        <v>566</v>
      </c>
      <c r="AP100" s="36" t="s">
        <v>579</v>
      </c>
      <c r="AQ100" s="28" t="s">
        <v>584</v>
      </c>
      <c r="AS100" s="35">
        <f>AM100+AN100</f>
        <v>0</v>
      </c>
      <c r="AT100" s="35">
        <f>F100/(100-AU100)*100</f>
        <v>0</v>
      </c>
      <c r="AU100" s="35">
        <v>0</v>
      </c>
      <c r="AV100" s="35">
        <f>K100</f>
        <v>8.4278999999999993</v>
      </c>
    </row>
    <row r="101" spans="1:48" x14ac:dyDescent="0.2">
      <c r="C101" s="15" t="s">
        <v>342</v>
      </c>
      <c r="E101" s="20">
        <v>13.5</v>
      </c>
    </row>
    <row r="102" spans="1:48" x14ac:dyDescent="0.2">
      <c r="C102" s="15" t="s">
        <v>343</v>
      </c>
      <c r="E102" s="20">
        <v>51.5</v>
      </c>
    </row>
    <row r="103" spans="1:48" x14ac:dyDescent="0.2">
      <c r="A103" s="4" t="s">
        <v>37</v>
      </c>
      <c r="B103" s="4" t="s">
        <v>163</v>
      </c>
      <c r="C103" s="4" t="s">
        <v>344</v>
      </c>
      <c r="D103" s="4" t="s">
        <v>523</v>
      </c>
      <c r="E103" s="19">
        <v>44.4</v>
      </c>
      <c r="F103" s="19">
        <v>0</v>
      </c>
      <c r="G103" s="19">
        <f>E103*AE103</f>
        <v>0</v>
      </c>
      <c r="H103" s="19">
        <f>I103-G103</f>
        <v>0</v>
      </c>
      <c r="I103" s="19">
        <f>E103*F103</f>
        <v>0</v>
      </c>
      <c r="J103" s="19">
        <v>0.12966</v>
      </c>
      <c r="K103" s="19">
        <f>E103*J103</f>
        <v>5.7569039999999996</v>
      </c>
      <c r="L103" s="31" t="s">
        <v>548</v>
      </c>
      <c r="P103" s="35">
        <f>IF(AG103="5",I103,0)</f>
        <v>0</v>
      </c>
      <c r="R103" s="35">
        <f>IF(AG103="1",G103,0)</f>
        <v>0</v>
      </c>
      <c r="S103" s="35">
        <f>IF(AG103="1",H103,0)</f>
        <v>0</v>
      </c>
      <c r="T103" s="35">
        <f>IF(AG103="7",G103,0)</f>
        <v>0</v>
      </c>
      <c r="U103" s="35">
        <f>IF(AG103="7",H103,0)</f>
        <v>0</v>
      </c>
      <c r="V103" s="35">
        <f>IF(AG103="2",G103,0)</f>
        <v>0</v>
      </c>
      <c r="W103" s="35">
        <f>IF(AG103="2",H103,0)</f>
        <v>0</v>
      </c>
      <c r="X103" s="35">
        <f>IF(AG103="0",I103,0)</f>
        <v>0</v>
      </c>
      <c r="Y103" s="28"/>
      <c r="Z103" s="19">
        <f>IF(AD103=0,I103,0)</f>
        <v>0</v>
      </c>
      <c r="AA103" s="19">
        <f>IF(AD103=15,I103,0)</f>
        <v>0</v>
      </c>
      <c r="AB103" s="19">
        <f>IF(AD103=21,I103,0)</f>
        <v>0</v>
      </c>
      <c r="AD103" s="35">
        <v>21</v>
      </c>
      <c r="AE103" s="35">
        <f>F103*0.783730886850153</f>
        <v>0</v>
      </c>
      <c r="AF103" s="35">
        <f>F103*(1-0.783730886850153)</f>
        <v>0</v>
      </c>
      <c r="AG103" s="31" t="s">
        <v>7</v>
      </c>
      <c r="AM103" s="35">
        <f>E103*AE103</f>
        <v>0</v>
      </c>
      <c r="AN103" s="35">
        <f>E103*AF103</f>
        <v>0</v>
      </c>
      <c r="AO103" s="36" t="s">
        <v>566</v>
      </c>
      <c r="AP103" s="36" t="s">
        <v>579</v>
      </c>
      <c r="AQ103" s="28" t="s">
        <v>584</v>
      </c>
      <c r="AS103" s="35">
        <f>AM103+AN103</f>
        <v>0</v>
      </c>
      <c r="AT103" s="35">
        <f>F103/(100-AU103)*100</f>
        <v>0</v>
      </c>
      <c r="AU103" s="35">
        <v>0</v>
      </c>
      <c r="AV103" s="35">
        <f>K103</f>
        <v>5.7569039999999996</v>
      </c>
    </row>
    <row r="104" spans="1:48" x14ac:dyDescent="0.2">
      <c r="C104" s="15" t="s">
        <v>345</v>
      </c>
      <c r="E104" s="20">
        <v>44.4</v>
      </c>
    </row>
    <row r="105" spans="1:48" x14ac:dyDescent="0.2">
      <c r="A105" s="4" t="s">
        <v>38</v>
      </c>
      <c r="B105" s="4" t="s">
        <v>164</v>
      </c>
      <c r="C105" s="4" t="s">
        <v>346</v>
      </c>
      <c r="D105" s="4" t="s">
        <v>523</v>
      </c>
      <c r="E105" s="19">
        <v>161.4</v>
      </c>
      <c r="F105" s="19">
        <v>0</v>
      </c>
      <c r="G105" s="19">
        <f>E105*AE105</f>
        <v>0</v>
      </c>
      <c r="H105" s="19">
        <f>I105-G105</f>
        <v>0</v>
      </c>
      <c r="I105" s="19">
        <f>E105*F105</f>
        <v>0</v>
      </c>
      <c r="J105" s="19">
        <v>5.0000000000000001E-4</v>
      </c>
      <c r="K105" s="19">
        <f>E105*J105</f>
        <v>8.0700000000000008E-2</v>
      </c>
      <c r="L105" s="31" t="s">
        <v>548</v>
      </c>
      <c r="P105" s="35">
        <f>IF(AG105="5",I105,0)</f>
        <v>0</v>
      </c>
      <c r="R105" s="35">
        <f>IF(AG105="1",G105,0)</f>
        <v>0</v>
      </c>
      <c r="S105" s="35">
        <f>IF(AG105="1",H105,0)</f>
        <v>0</v>
      </c>
      <c r="T105" s="35">
        <f>IF(AG105="7",G105,0)</f>
        <v>0</v>
      </c>
      <c r="U105" s="35">
        <f>IF(AG105="7",H105,0)</f>
        <v>0</v>
      </c>
      <c r="V105" s="35">
        <f>IF(AG105="2",G105,0)</f>
        <v>0</v>
      </c>
      <c r="W105" s="35">
        <f>IF(AG105="2",H105,0)</f>
        <v>0</v>
      </c>
      <c r="X105" s="35">
        <f>IF(AG105="0",I105,0)</f>
        <v>0</v>
      </c>
      <c r="Y105" s="28"/>
      <c r="Z105" s="19">
        <f>IF(AD105=0,I105,0)</f>
        <v>0</v>
      </c>
      <c r="AA105" s="19">
        <f>IF(AD105=15,I105,0)</f>
        <v>0</v>
      </c>
      <c r="AB105" s="19">
        <f>IF(AD105=21,I105,0)</f>
        <v>0</v>
      </c>
      <c r="AD105" s="35">
        <v>21</v>
      </c>
      <c r="AE105" s="35">
        <f>F105*0.865940008306281</f>
        <v>0</v>
      </c>
      <c r="AF105" s="35">
        <f>F105*(1-0.865940008306281)</f>
        <v>0</v>
      </c>
      <c r="AG105" s="31" t="s">
        <v>7</v>
      </c>
      <c r="AM105" s="35">
        <f>E105*AE105</f>
        <v>0</v>
      </c>
      <c r="AN105" s="35">
        <f>E105*AF105</f>
        <v>0</v>
      </c>
      <c r="AO105" s="36" t="s">
        <v>566</v>
      </c>
      <c r="AP105" s="36" t="s">
        <v>579</v>
      </c>
      <c r="AQ105" s="28" t="s">
        <v>584</v>
      </c>
      <c r="AS105" s="35">
        <f>AM105+AN105</f>
        <v>0</v>
      </c>
      <c r="AT105" s="35">
        <f>F105/(100-AU105)*100</f>
        <v>0</v>
      </c>
      <c r="AU105" s="35">
        <v>0</v>
      </c>
      <c r="AV105" s="35">
        <f>K105</f>
        <v>8.0700000000000008E-2</v>
      </c>
    </row>
    <row r="106" spans="1:48" x14ac:dyDescent="0.2">
      <c r="C106" s="15" t="s">
        <v>347</v>
      </c>
      <c r="E106" s="20">
        <v>161.4</v>
      </c>
    </row>
    <row r="107" spans="1:48" x14ac:dyDescent="0.2">
      <c r="A107" s="4" t="s">
        <v>39</v>
      </c>
      <c r="B107" s="4" t="s">
        <v>165</v>
      </c>
      <c r="C107" s="4" t="s">
        <v>348</v>
      </c>
      <c r="D107" s="4" t="s">
        <v>523</v>
      </c>
      <c r="E107" s="19">
        <v>13.5</v>
      </c>
      <c r="F107" s="19">
        <v>0</v>
      </c>
      <c r="G107" s="19">
        <f>E107*AE107</f>
        <v>0</v>
      </c>
      <c r="H107" s="19">
        <f>I107-G107</f>
        <v>0</v>
      </c>
      <c r="I107" s="19">
        <f>E107*F107</f>
        <v>0</v>
      </c>
      <c r="J107" s="19">
        <v>7.1000000000000002E-4</v>
      </c>
      <c r="K107" s="19">
        <f>E107*J107</f>
        <v>9.5849999999999998E-3</v>
      </c>
      <c r="L107" s="31" t="s">
        <v>548</v>
      </c>
      <c r="P107" s="35">
        <f>IF(AG107="5",I107,0)</f>
        <v>0</v>
      </c>
      <c r="R107" s="35">
        <f>IF(AG107="1",G107,0)</f>
        <v>0</v>
      </c>
      <c r="S107" s="35">
        <f>IF(AG107="1",H107,0)</f>
        <v>0</v>
      </c>
      <c r="T107" s="35">
        <f>IF(AG107="7",G107,0)</f>
        <v>0</v>
      </c>
      <c r="U107" s="35">
        <f>IF(AG107="7",H107,0)</f>
        <v>0</v>
      </c>
      <c r="V107" s="35">
        <f>IF(AG107="2",G107,0)</f>
        <v>0</v>
      </c>
      <c r="W107" s="35">
        <f>IF(AG107="2",H107,0)</f>
        <v>0</v>
      </c>
      <c r="X107" s="35">
        <f>IF(AG107="0",I107,0)</f>
        <v>0</v>
      </c>
      <c r="Y107" s="28"/>
      <c r="Z107" s="19">
        <f>IF(AD107=0,I107,0)</f>
        <v>0</v>
      </c>
      <c r="AA107" s="19">
        <f>IF(AD107=15,I107,0)</f>
        <v>0</v>
      </c>
      <c r="AB107" s="19">
        <f>IF(AD107=21,I107,0)</f>
        <v>0</v>
      </c>
      <c r="AD107" s="35">
        <v>21</v>
      </c>
      <c r="AE107" s="35">
        <f>F107*0.902064525677076</f>
        <v>0</v>
      </c>
      <c r="AF107" s="35">
        <f>F107*(1-0.902064525677076)</f>
        <v>0</v>
      </c>
      <c r="AG107" s="31" t="s">
        <v>7</v>
      </c>
      <c r="AM107" s="35">
        <f>E107*AE107</f>
        <v>0</v>
      </c>
      <c r="AN107" s="35">
        <f>E107*AF107</f>
        <v>0</v>
      </c>
      <c r="AO107" s="36" t="s">
        <v>566</v>
      </c>
      <c r="AP107" s="36" t="s">
        <v>579</v>
      </c>
      <c r="AQ107" s="28" t="s">
        <v>584</v>
      </c>
      <c r="AS107" s="35">
        <f>AM107+AN107</f>
        <v>0</v>
      </c>
      <c r="AT107" s="35">
        <f>F107/(100-AU107)*100</f>
        <v>0</v>
      </c>
      <c r="AU107" s="35">
        <v>0</v>
      </c>
      <c r="AV107" s="35">
        <f>K107</f>
        <v>9.5849999999999998E-3</v>
      </c>
    </row>
    <row r="108" spans="1:48" x14ac:dyDescent="0.2">
      <c r="C108" s="15" t="s">
        <v>333</v>
      </c>
      <c r="E108" s="20">
        <v>13.5</v>
      </c>
    </row>
    <row r="109" spans="1:48" x14ac:dyDescent="0.2">
      <c r="A109" s="5"/>
      <c r="B109" s="13" t="s">
        <v>64</v>
      </c>
      <c r="C109" s="13" t="s">
        <v>349</v>
      </c>
      <c r="D109" s="5" t="s">
        <v>6</v>
      </c>
      <c r="E109" s="5" t="s">
        <v>6</v>
      </c>
      <c r="F109" s="5" t="s">
        <v>6</v>
      </c>
      <c r="G109" s="38">
        <f>SUM(G110:G112)</f>
        <v>0</v>
      </c>
      <c r="H109" s="38">
        <f>SUM(H110:H112)</f>
        <v>0</v>
      </c>
      <c r="I109" s="38">
        <f>G109+H109</f>
        <v>0</v>
      </c>
      <c r="J109" s="28"/>
      <c r="K109" s="38">
        <f>SUM(K110:K112)</f>
        <v>57.514650000000003</v>
      </c>
      <c r="L109" s="28"/>
      <c r="Y109" s="28"/>
      <c r="AI109" s="38">
        <f>SUM(Z110:Z112)</f>
        <v>0</v>
      </c>
      <c r="AJ109" s="38">
        <f>SUM(AA110:AA112)</f>
        <v>0</v>
      </c>
      <c r="AK109" s="38">
        <f>SUM(AB110:AB112)</f>
        <v>0</v>
      </c>
    </row>
    <row r="110" spans="1:48" x14ac:dyDescent="0.2">
      <c r="A110" s="4" t="s">
        <v>40</v>
      </c>
      <c r="B110" s="4" t="s">
        <v>166</v>
      </c>
      <c r="C110" s="4" t="s">
        <v>350</v>
      </c>
      <c r="D110" s="4" t="s">
        <v>523</v>
      </c>
      <c r="E110" s="19">
        <v>111</v>
      </c>
      <c r="F110" s="19">
        <v>0</v>
      </c>
      <c r="G110" s="19">
        <f>E110*AE110</f>
        <v>0</v>
      </c>
      <c r="H110" s="19">
        <f>I110-G110</f>
        <v>0</v>
      </c>
      <c r="I110" s="19">
        <f>E110*F110</f>
        <v>0</v>
      </c>
      <c r="J110" s="19">
        <v>0.51815</v>
      </c>
      <c r="K110" s="19">
        <f>E110*J110</f>
        <v>57.514650000000003</v>
      </c>
      <c r="L110" s="31" t="s">
        <v>548</v>
      </c>
      <c r="P110" s="35">
        <f>IF(AG110="5",I110,0)</f>
        <v>0</v>
      </c>
      <c r="R110" s="35">
        <f>IF(AG110="1",G110,0)</f>
        <v>0</v>
      </c>
      <c r="S110" s="35">
        <f>IF(AG110="1",H110,0)</f>
        <v>0</v>
      </c>
      <c r="T110" s="35">
        <f>IF(AG110="7",G110,0)</f>
        <v>0</v>
      </c>
      <c r="U110" s="35">
        <f>IF(AG110="7",H110,0)</f>
        <v>0</v>
      </c>
      <c r="V110" s="35">
        <f>IF(AG110="2",G110,0)</f>
        <v>0</v>
      </c>
      <c r="W110" s="35">
        <f>IF(AG110="2",H110,0)</f>
        <v>0</v>
      </c>
      <c r="X110" s="35">
        <f>IF(AG110="0",I110,0)</f>
        <v>0</v>
      </c>
      <c r="Y110" s="28"/>
      <c r="Z110" s="19">
        <f>IF(AD110=0,I110,0)</f>
        <v>0</v>
      </c>
      <c r="AA110" s="19">
        <f>IF(AD110=15,I110,0)</f>
        <v>0</v>
      </c>
      <c r="AB110" s="19">
        <f>IF(AD110=21,I110,0)</f>
        <v>0</v>
      </c>
      <c r="AD110" s="35">
        <v>21</v>
      </c>
      <c r="AE110" s="35">
        <f>F110*0.948252327418291</f>
        <v>0</v>
      </c>
      <c r="AF110" s="35">
        <f>F110*(1-0.948252327418291)</f>
        <v>0</v>
      </c>
      <c r="AG110" s="31" t="s">
        <v>7</v>
      </c>
      <c r="AM110" s="35">
        <f>E110*AE110</f>
        <v>0</v>
      </c>
      <c r="AN110" s="35">
        <f>E110*AF110</f>
        <v>0</v>
      </c>
      <c r="AO110" s="36" t="s">
        <v>567</v>
      </c>
      <c r="AP110" s="36" t="s">
        <v>579</v>
      </c>
      <c r="AQ110" s="28" t="s">
        <v>584</v>
      </c>
      <c r="AS110" s="35">
        <f>AM110+AN110</f>
        <v>0</v>
      </c>
      <c r="AT110" s="35">
        <f>F110/(100-AU110)*100</f>
        <v>0</v>
      </c>
      <c r="AU110" s="35">
        <v>0</v>
      </c>
      <c r="AV110" s="35">
        <f>K110</f>
        <v>57.514650000000003</v>
      </c>
    </row>
    <row r="111" spans="1:48" x14ac:dyDescent="0.2">
      <c r="C111" s="15" t="s">
        <v>117</v>
      </c>
      <c r="E111" s="20">
        <v>111</v>
      </c>
    </row>
    <row r="112" spans="1:48" x14ac:dyDescent="0.2">
      <c r="A112" s="6" t="s">
        <v>41</v>
      </c>
      <c r="B112" s="6" t="s">
        <v>167</v>
      </c>
      <c r="C112" s="6" t="s">
        <v>351</v>
      </c>
      <c r="D112" s="6" t="s">
        <v>525</v>
      </c>
      <c r="E112" s="21">
        <v>22.2</v>
      </c>
      <c r="F112" s="21">
        <v>0</v>
      </c>
      <c r="G112" s="21">
        <f>E112*AE112</f>
        <v>0</v>
      </c>
      <c r="H112" s="21">
        <f>I112-G112</f>
        <v>0</v>
      </c>
      <c r="I112" s="21">
        <f>E112*F112</f>
        <v>0</v>
      </c>
      <c r="J112" s="21">
        <v>0</v>
      </c>
      <c r="K112" s="21">
        <f>E112*J112</f>
        <v>0</v>
      </c>
      <c r="L112" s="32"/>
      <c r="P112" s="35">
        <f>IF(AG112="5",I112,0)</f>
        <v>0</v>
      </c>
      <c r="R112" s="35">
        <f>IF(AG112="1",G112,0)</f>
        <v>0</v>
      </c>
      <c r="S112" s="35">
        <f>IF(AG112="1",H112,0)</f>
        <v>0</v>
      </c>
      <c r="T112" s="35">
        <f>IF(AG112="7",G112,0)</f>
        <v>0</v>
      </c>
      <c r="U112" s="35">
        <f>IF(AG112="7",H112,0)</f>
        <v>0</v>
      </c>
      <c r="V112" s="35">
        <f>IF(AG112="2",G112,0)</f>
        <v>0</v>
      </c>
      <c r="W112" s="35">
        <f>IF(AG112="2",H112,0)</f>
        <v>0</v>
      </c>
      <c r="X112" s="35">
        <f>IF(AG112="0",I112,0)</f>
        <v>0</v>
      </c>
      <c r="Y112" s="28"/>
      <c r="Z112" s="21">
        <f>IF(AD112=0,I112,0)</f>
        <v>0</v>
      </c>
      <c r="AA112" s="21">
        <f>IF(AD112=15,I112,0)</f>
        <v>0</v>
      </c>
      <c r="AB112" s="21">
        <f>IF(AD112=21,I112,0)</f>
        <v>0</v>
      </c>
      <c r="AD112" s="35">
        <v>21</v>
      </c>
      <c r="AE112" s="35">
        <f>F112*1</f>
        <v>0</v>
      </c>
      <c r="AF112" s="35">
        <f>F112*(1-1)</f>
        <v>0</v>
      </c>
      <c r="AG112" s="32" t="s">
        <v>7</v>
      </c>
      <c r="AM112" s="35">
        <f>E112*AE112</f>
        <v>0</v>
      </c>
      <c r="AN112" s="35">
        <f>E112*AF112</f>
        <v>0</v>
      </c>
      <c r="AO112" s="36" t="s">
        <v>567</v>
      </c>
      <c r="AP112" s="36" t="s">
        <v>579</v>
      </c>
      <c r="AQ112" s="28" t="s">
        <v>584</v>
      </c>
      <c r="AS112" s="35">
        <f>AM112+AN112</f>
        <v>0</v>
      </c>
      <c r="AT112" s="35">
        <f>F112/(100-AU112)*100</f>
        <v>0</v>
      </c>
      <c r="AU112" s="35">
        <v>0</v>
      </c>
      <c r="AV112" s="35">
        <f>K112</f>
        <v>0</v>
      </c>
    </row>
    <row r="113" spans="1:48" x14ac:dyDescent="0.2">
      <c r="C113" s="15" t="s">
        <v>352</v>
      </c>
      <c r="E113" s="20">
        <v>22.2</v>
      </c>
    </row>
    <row r="114" spans="1:48" x14ac:dyDescent="0.2">
      <c r="A114" s="5"/>
      <c r="B114" s="13" t="s">
        <v>65</v>
      </c>
      <c r="C114" s="13" t="s">
        <v>353</v>
      </c>
      <c r="D114" s="5" t="s">
        <v>6</v>
      </c>
      <c r="E114" s="5" t="s">
        <v>6</v>
      </c>
      <c r="F114" s="5" t="s">
        <v>6</v>
      </c>
      <c r="G114" s="38">
        <f>SUM(G115:G153)</f>
        <v>0</v>
      </c>
      <c r="H114" s="38">
        <f>SUM(H115:H153)</f>
        <v>0</v>
      </c>
      <c r="I114" s="38">
        <f>G114+H114</f>
        <v>0</v>
      </c>
      <c r="J114" s="28"/>
      <c r="K114" s="38">
        <f>SUM(K115:K153)</f>
        <v>44.201340000000002</v>
      </c>
      <c r="L114" s="28"/>
      <c r="Y114" s="28"/>
      <c r="AI114" s="38">
        <f>SUM(Z115:Z153)</f>
        <v>0</v>
      </c>
      <c r="AJ114" s="38">
        <f>SUM(AA115:AA153)</f>
        <v>0</v>
      </c>
      <c r="AK114" s="38">
        <f>SUM(AB115:AB153)</f>
        <v>0</v>
      </c>
    </row>
    <row r="115" spans="1:48" x14ac:dyDescent="0.2">
      <c r="A115" s="4" t="s">
        <v>42</v>
      </c>
      <c r="B115" s="4" t="s">
        <v>168</v>
      </c>
      <c r="C115" s="4" t="s">
        <v>354</v>
      </c>
      <c r="D115" s="4" t="s">
        <v>523</v>
      </c>
      <c r="E115" s="19">
        <v>199</v>
      </c>
      <c r="F115" s="19">
        <v>0</v>
      </c>
      <c r="G115" s="19">
        <f>E115*AE115</f>
        <v>0</v>
      </c>
      <c r="H115" s="19">
        <f>I115-G115</f>
        <v>0</v>
      </c>
      <c r="I115" s="19">
        <f>E115*F115</f>
        <v>0</v>
      </c>
      <c r="J115" s="19">
        <v>7.3899999999999993E-2</v>
      </c>
      <c r="K115" s="19">
        <f>E115*J115</f>
        <v>14.706099999999999</v>
      </c>
      <c r="L115" s="31" t="s">
        <v>548</v>
      </c>
      <c r="P115" s="35">
        <f>IF(AG115="5",I115,0)</f>
        <v>0</v>
      </c>
      <c r="R115" s="35">
        <f>IF(AG115="1",G115,0)</f>
        <v>0</v>
      </c>
      <c r="S115" s="35">
        <f>IF(AG115="1",H115,0)</f>
        <v>0</v>
      </c>
      <c r="T115" s="35">
        <f>IF(AG115="7",G115,0)</f>
        <v>0</v>
      </c>
      <c r="U115" s="35">
        <f>IF(AG115="7",H115,0)</f>
        <v>0</v>
      </c>
      <c r="V115" s="35">
        <f>IF(AG115="2",G115,0)</f>
        <v>0</v>
      </c>
      <c r="W115" s="35">
        <f>IF(AG115="2",H115,0)</f>
        <v>0</v>
      </c>
      <c r="X115" s="35">
        <f>IF(AG115="0",I115,0)</f>
        <v>0</v>
      </c>
      <c r="Y115" s="28"/>
      <c r="Z115" s="19">
        <f>IF(AD115=0,I115,0)</f>
        <v>0</v>
      </c>
      <c r="AA115" s="19">
        <f>IF(AD115=15,I115,0)</f>
        <v>0</v>
      </c>
      <c r="AB115" s="19">
        <f>IF(AD115=21,I115,0)</f>
        <v>0</v>
      </c>
      <c r="AD115" s="35">
        <v>21</v>
      </c>
      <c r="AE115" s="35">
        <f>F115*0.165720524017467</f>
        <v>0</v>
      </c>
      <c r="AF115" s="35">
        <f>F115*(1-0.165720524017467)</f>
        <v>0</v>
      </c>
      <c r="AG115" s="31" t="s">
        <v>7</v>
      </c>
      <c r="AM115" s="35">
        <f>E115*AE115</f>
        <v>0</v>
      </c>
      <c r="AN115" s="35">
        <f>E115*AF115</f>
        <v>0</v>
      </c>
      <c r="AO115" s="36" t="s">
        <v>568</v>
      </c>
      <c r="AP115" s="36" t="s">
        <v>579</v>
      </c>
      <c r="AQ115" s="28" t="s">
        <v>584</v>
      </c>
      <c r="AS115" s="35">
        <f>AM115+AN115</f>
        <v>0</v>
      </c>
      <c r="AT115" s="35">
        <f>F115/(100-AU115)*100</f>
        <v>0</v>
      </c>
      <c r="AU115" s="35">
        <v>0</v>
      </c>
      <c r="AV115" s="35">
        <f>K115</f>
        <v>14.706099999999999</v>
      </c>
    </row>
    <row r="116" spans="1:48" x14ac:dyDescent="0.2">
      <c r="C116" s="15" t="s">
        <v>339</v>
      </c>
      <c r="E116" s="20">
        <v>199</v>
      </c>
    </row>
    <row r="117" spans="1:48" ht="38.450000000000003" customHeight="1" x14ac:dyDescent="0.2">
      <c r="B117" s="12" t="s">
        <v>133</v>
      </c>
      <c r="C117" s="112" t="s">
        <v>355</v>
      </c>
      <c r="D117" s="113"/>
      <c r="E117" s="113"/>
      <c r="F117" s="113"/>
      <c r="G117" s="113"/>
      <c r="H117" s="113"/>
      <c r="I117" s="113"/>
      <c r="J117" s="113"/>
      <c r="K117" s="113"/>
      <c r="L117" s="113"/>
    </row>
    <row r="118" spans="1:48" x14ac:dyDescent="0.2">
      <c r="A118" s="6" t="s">
        <v>43</v>
      </c>
      <c r="B118" s="6" t="s">
        <v>169</v>
      </c>
      <c r="C118" s="6" t="s">
        <v>356</v>
      </c>
      <c r="D118" s="6" t="s">
        <v>523</v>
      </c>
      <c r="E118" s="21">
        <v>190.38499999999999</v>
      </c>
      <c r="F118" s="21">
        <v>0</v>
      </c>
      <c r="G118" s="21">
        <f>E118*AE118</f>
        <v>0</v>
      </c>
      <c r="H118" s="21">
        <f>I118-G118</f>
        <v>0</v>
      </c>
      <c r="I118" s="21">
        <f>E118*F118</f>
        <v>0</v>
      </c>
      <c r="J118" s="21">
        <v>0.13100000000000001</v>
      </c>
      <c r="K118" s="21">
        <f>E118*J118</f>
        <v>24.940435000000001</v>
      </c>
      <c r="L118" s="32" t="s">
        <v>548</v>
      </c>
      <c r="P118" s="35">
        <f>IF(AG118="5",I118,0)</f>
        <v>0</v>
      </c>
      <c r="R118" s="35">
        <f>IF(AG118="1",G118,0)</f>
        <v>0</v>
      </c>
      <c r="S118" s="35">
        <f>IF(AG118="1",H118,0)</f>
        <v>0</v>
      </c>
      <c r="T118" s="35">
        <f>IF(AG118="7",G118,0)</f>
        <v>0</v>
      </c>
      <c r="U118" s="35">
        <f>IF(AG118="7",H118,0)</f>
        <v>0</v>
      </c>
      <c r="V118" s="35">
        <f>IF(AG118="2",G118,0)</f>
        <v>0</v>
      </c>
      <c r="W118" s="35">
        <f>IF(AG118="2",H118,0)</f>
        <v>0</v>
      </c>
      <c r="X118" s="35">
        <f>IF(AG118="0",I118,0)</f>
        <v>0</v>
      </c>
      <c r="Y118" s="28"/>
      <c r="Z118" s="21">
        <f>IF(AD118=0,I118,0)</f>
        <v>0</v>
      </c>
      <c r="AA118" s="21">
        <f>IF(AD118=15,I118,0)</f>
        <v>0</v>
      </c>
      <c r="AB118" s="21">
        <f>IF(AD118=21,I118,0)</f>
        <v>0</v>
      </c>
      <c r="AD118" s="35">
        <v>21</v>
      </c>
      <c r="AE118" s="35">
        <f>F118*1</f>
        <v>0</v>
      </c>
      <c r="AF118" s="35">
        <f>F118*(1-1)</f>
        <v>0</v>
      </c>
      <c r="AG118" s="32" t="s">
        <v>7</v>
      </c>
      <c r="AM118" s="35">
        <f>E118*AE118</f>
        <v>0</v>
      </c>
      <c r="AN118" s="35">
        <f>E118*AF118</f>
        <v>0</v>
      </c>
      <c r="AO118" s="36" t="s">
        <v>568</v>
      </c>
      <c r="AP118" s="36" t="s">
        <v>579</v>
      </c>
      <c r="AQ118" s="28" t="s">
        <v>584</v>
      </c>
      <c r="AS118" s="35">
        <f>AM118+AN118</f>
        <v>0</v>
      </c>
      <c r="AT118" s="35">
        <f>F118/(100-AU118)*100</f>
        <v>0</v>
      </c>
      <c r="AU118" s="35">
        <v>0</v>
      </c>
      <c r="AV118" s="35">
        <f>K118</f>
        <v>24.940435000000001</v>
      </c>
    </row>
    <row r="119" spans="1:48" x14ac:dyDescent="0.2">
      <c r="C119" s="15" t="s">
        <v>339</v>
      </c>
      <c r="E119" s="20">
        <v>199</v>
      </c>
    </row>
    <row r="120" spans="1:48" x14ac:dyDescent="0.2">
      <c r="C120" s="15" t="s">
        <v>357</v>
      </c>
      <c r="E120" s="20">
        <v>-10.5</v>
      </c>
    </row>
    <row r="121" spans="1:48" x14ac:dyDescent="0.2">
      <c r="C121" s="15" t="s">
        <v>358</v>
      </c>
      <c r="E121" s="20">
        <v>1.885</v>
      </c>
    </row>
    <row r="122" spans="1:48" x14ac:dyDescent="0.2">
      <c r="B122" s="12" t="s">
        <v>133</v>
      </c>
      <c r="C122" s="112" t="s">
        <v>359</v>
      </c>
      <c r="D122" s="113"/>
      <c r="E122" s="113"/>
      <c r="F122" s="113"/>
      <c r="G122" s="113"/>
      <c r="H122" s="113"/>
      <c r="I122" s="113"/>
      <c r="J122" s="113"/>
      <c r="K122" s="113"/>
      <c r="L122" s="113"/>
    </row>
    <row r="123" spans="1:48" x14ac:dyDescent="0.2">
      <c r="A123" s="6" t="s">
        <v>44</v>
      </c>
      <c r="B123" s="6" t="s">
        <v>170</v>
      </c>
      <c r="C123" s="6" t="s">
        <v>360</v>
      </c>
      <c r="D123" s="6" t="s">
        <v>523</v>
      </c>
      <c r="E123" s="21">
        <v>4.5449999999999999</v>
      </c>
      <c r="F123" s="21">
        <v>0</v>
      </c>
      <c r="G123" s="21">
        <f>E123*AE123</f>
        <v>0</v>
      </c>
      <c r="H123" s="21">
        <f>I123-G123</f>
        <v>0</v>
      </c>
      <c r="I123" s="21">
        <f>E123*F123</f>
        <v>0</v>
      </c>
      <c r="J123" s="21">
        <v>0.13100000000000001</v>
      </c>
      <c r="K123" s="21">
        <f>E123*J123</f>
        <v>0.59539500000000001</v>
      </c>
      <c r="L123" s="32" t="s">
        <v>548</v>
      </c>
      <c r="P123" s="35">
        <f>IF(AG123="5",I123,0)</f>
        <v>0</v>
      </c>
      <c r="R123" s="35">
        <f>IF(AG123="1",G123,0)</f>
        <v>0</v>
      </c>
      <c r="S123" s="35">
        <f>IF(AG123="1",H123,0)</f>
        <v>0</v>
      </c>
      <c r="T123" s="35">
        <f>IF(AG123="7",G123,0)</f>
        <v>0</v>
      </c>
      <c r="U123" s="35">
        <f>IF(AG123="7",H123,0)</f>
        <v>0</v>
      </c>
      <c r="V123" s="35">
        <f>IF(AG123="2",G123,0)</f>
        <v>0</v>
      </c>
      <c r="W123" s="35">
        <f>IF(AG123="2",H123,0)</f>
        <v>0</v>
      </c>
      <c r="X123" s="35">
        <f>IF(AG123="0",I123,0)</f>
        <v>0</v>
      </c>
      <c r="Y123" s="28"/>
      <c r="Z123" s="21">
        <f>IF(AD123=0,I123,0)</f>
        <v>0</v>
      </c>
      <c r="AA123" s="21">
        <f>IF(AD123=15,I123,0)</f>
        <v>0</v>
      </c>
      <c r="AB123" s="21">
        <f>IF(AD123=21,I123,0)</f>
        <v>0</v>
      </c>
      <c r="AD123" s="35">
        <v>21</v>
      </c>
      <c r="AE123" s="35">
        <f>F123*1</f>
        <v>0</v>
      </c>
      <c r="AF123" s="35">
        <f>F123*(1-1)</f>
        <v>0</v>
      </c>
      <c r="AG123" s="32" t="s">
        <v>7</v>
      </c>
      <c r="AM123" s="35">
        <f>E123*AE123</f>
        <v>0</v>
      </c>
      <c r="AN123" s="35">
        <f>E123*AF123</f>
        <v>0</v>
      </c>
      <c r="AO123" s="36" t="s">
        <v>568</v>
      </c>
      <c r="AP123" s="36" t="s">
        <v>579</v>
      </c>
      <c r="AQ123" s="28" t="s">
        <v>584</v>
      </c>
      <c r="AS123" s="35">
        <f>AM123+AN123</f>
        <v>0</v>
      </c>
      <c r="AT123" s="35">
        <f>F123/(100-AU123)*100</f>
        <v>0</v>
      </c>
      <c r="AU123" s="35">
        <v>0</v>
      </c>
      <c r="AV123" s="35">
        <f>K123</f>
        <v>0.59539500000000001</v>
      </c>
    </row>
    <row r="124" spans="1:48" x14ac:dyDescent="0.2">
      <c r="C124" s="15" t="s">
        <v>361</v>
      </c>
      <c r="E124" s="20">
        <v>4.5</v>
      </c>
    </row>
    <row r="125" spans="1:48" x14ac:dyDescent="0.2">
      <c r="C125" s="15" t="s">
        <v>362</v>
      </c>
      <c r="E125" s="20">
        <v>4.4999999999999998E-2</v>
      </c>
    </row>
    <row r="126" spans="1:48" x14ac:dyDescent="0.2">
      <c r="B126" s="12" t="s">
        <v>133</v>
      </c>
      <c r="C126" s="112" t="s">
        <v>363</v>
      </c>
      <c r="D126" s="113"/>
      <c r="E126" s="113"/>
      <c r="F126" s="113"/>
      <c r="G126" s="113"/>
      <c r="H126" s="113"/>
      <c r="I126" s="113"/>
      <c r="J126" s="113"/>
      <c r="K126" s="113"/>
      <c r="L126" s="113"/>
    </row>
    <row r="127" spans="1:48" x14ac:dyDescent="0.2">
      <c r="A127" s="6" t="s">
        <v>45</v>
      </c>
      <c r="B127" s="6" t="s">
        <v>171</v>
      </c>
      <c r="C127" s="6" t="s">
        <v>364</v>
      </c>
      <c r="D127" s="6" t="s">
        <v>523</v>
      </c>
      <c r="E127" s="21">
        <v>6.06</v>
      </c>
      <c r="F127" s="21">
        <v>0</v>
      </c>
      <c r="G127" s="21">
        <f>E127*AE127</f>
        <v>0</v>
      </c>
      <c r="H127" s="21">
        <f>I127-G127</f>
        <v>0</v>
      </c>
      <c r="I127" s="21">
        <f>E127*F127</f>
        <v>0</v>
      </c>
      <c r="J127" s="21">
        <v>0.13100000000000001</v>
      </c>
      <c r="K127" s="21">
        <f>E127*J127</f>
        <v>0.79386000000000001</v>
      </c>
      <c r="L127" s="32" t="s">
        <v>548</v>
      </c>
      <c r="P127" s="35">
        <f>IF(AG127="5",I127,0)</f>
        <v>0</v>
      </c>
      <c r="R127" s="35">
        <f>IF(AG127="1",G127,0)</f>
        <v>0</v>
      </c>
      <c r="S127" s="35">
        <f>IF(AG127="1",H127,0)</f>
        <v>0</v>
      </c>
      <c r="T127" s="35">
        <f>IF(AG127="7",G127,0)</f>
        <v>0</v>
      </c>
      <c r="U127" s="35">
        <f>IF(AG127="7",H127,0)</f>
        <v>0</v>
      </c>
      <c r="V127" s="35">
        <f>IF(AG127="2",G127,0)</f>
        <v>0</v>
      </c>
      <c r="W127" s="35">
        <f>IF(AG127="2",H127,0)</f>
        <v>0</v>
      </c>
      <c r="X127" s="35">
        <f>IF(AG127="0",I127,0)</f>
        <v>0</v>
      </c>
      <c r="Y127" s="28"/>
      <c r="Z127" s="21">
        <f>IF(AD127=0,I127,0)</f>
        <v>0</v>
      </c>
      <c r="AA127" s="21">
        <f>IF(AD127=15,I127,0)</f>
        <v>0</v>
      </c>
      <c r="AB127" s="21">
        <f>IF(AD127=21,I127,0)</f>
        <v>0</v>
      </c>
      <c r="AD127" s="35">
        <v>21</v>
      </c>
      <c r="AE127" s="35">
        <f>F127*1</f>
        <v>0</v>
      </c>
      <c r="AF127" s="35">
        <f>F127*(1-1)</f>
        <v>0</v>
      </c>
      <c r="AG127" s="32" t="s">
        <v>7</v>
      </c>
      <c r="AM127" s="35">
        <f>E127*AE127</f>
        <v>0</v>
      </c>
      <c r="AN127" s="35">
        <f>E127*AF127</f>
        <v>0</v>
      </c>
      <c r="AO127" s="36" t="s">
        <v>568</v>
      </c>
      <c r="AP127" s="36" t="s">
        <v>579</v>
      </c>
      <c r="AQ127" s="28" t="s">
        <v>584</v>
      </c>
      <c r="AS127" s="35">
        <f>AM127+AN127</f>
        <v>0</v>
      </c>
      <c r="AT127" s="35">
        <f>F127/(100-AU127)*100</f>
        <v>0</v>
      </c>
      <c r="AU127" s="35">
        <v>0</v>
      </c>
      <c r="AV127" s="35">
        <f>K127</f>
        <v>0.79386000000000001</v>
      </c>
    </row>
    <row r="128" spans="1:48" x14ac:dyDescent="0.2">
      <c r="C128" s="15" t="s">
        <v>365</v>
      </c>
      <c r="E128" s="20">
        <v>6</v>
      </c>
    </row>
    <row r="129" spans="1:48" x14ac:dyDescent="0.2">
      <c r="C129" s="15" t="s">
        <v>366</v>
      </c>
      <c r="E129" s="20">
        <v>0.06</v>
      </c>
    </row>
    <row r="130" spans="1:48" x14ac:dyDescent="0.2">
      <c r="B130" s="12" t="s">
        <v>133</v>
      </c>
      <c r="C130" s="112" t="s">
        <v>367</v>
      </c>
      <c r="D130" s="113"/>
      <c r="E130" s="113"/>
      <c r="F130" s="113"/>
      <c r="G130" s="113"/>
      <c r="H130" s="113"/>
      <c r="I130" s="113"/>
      <c r="J130" s="113"/>
      <c r="K130" s="113"/>
      <c r="L130" s="113"/>
    </row>
    <row r="131" spans="1:48" x14ac:dyDescent="0.2">
      <c r="A131" s="4" t="s">
        <v>46</v>
      </c>
      <c r="B131" s="4" t="s">
        <v>172</v>
      </c>
      <c r="C131" s="4" t="s">
        <v>368</v>
      </c>
      <c r="D131" s="4" t="s">
        <v>524</v>
      </c>
      <c r="E131" s="19">
        <v>60</v>
      </c>
      <c r="F131" s="19">
        <v>0</v>
      </c>
      <c r="G131" s="19">
        <f>E131*AE131</f>
        <v>0</v>
      </c>
      <c r="H131" s="19">
        <f>I131-G131</f>
        <v>0</v>
      </c>
      <c r="I131" s="19">
        <f>E131*F131</f>
        <v>0</v>
      </c>
      <c r="J131" s="19">
        <v>3.3E-4</v>
      </c>
      <c r="K131" s="19">
        <f>E131*J131</f>
        <v>1.9799999999999998E-2</v>
      </c>
      <c r="L131" s="31" t="s">
        <v>548</v>
      </c>
      <c r="P131" s="35">
        <f>IF(AG131="5",I131,0)</f>
        <v>0</v>
      </c>
      <c r="R131" s="35">
        <f>IF(AG131="1",G131,0)</f>
        <v>0</v>
      </c>
      <c r="S131" s="35">
        <f>IF(AG131="1",H131,0)</f>
        <v>0</v>
      </c>
      <c r="T131" s="35">
        <f>IF(AG131="7",G131,0)</f>
        <v>0</v>
      </c>
      <c r="U131" s="35">
        <f>IF(AG131="7",H131,0)</f>
        <v>0</v>
      </c>
      <c r="V131" s="35">
        <f>IF(AG131="2",G131,0)</f>
        <v>0</v>
      </c>
      <c r="W131" s="35">
        <f>IF(AG131="2",H131,0)</f>
        <v>0</v>
      </c>
      <c r="X131" s="35">
        <f>IF(AG131="0",I131,0)</f>
        <v>0</v>
      </c>
      <c r="Y131" s="28"/>
      <c r="Z131" s="19">
        <f>IF(AD131=0,I131,0)</f>
        <v>0</v>
      </c>
      <c r="AA131" s="19">
        <f>IF(AD131=15,I131,0)</f>
        <v>0</v>
      </c>
      <c r="AB131" s="19">
        <f>IF(AD131=21,I131,0)</f>
        <v>0</v>
      </c>
      <c r="AD131" s="35">
        <v>21</v>
      </c>
      <c r="AE131" s="35">
        <f>F131*0.0639933816730741</f>
        <v>0</v>
      </c>
      <c r="AF131" s="35">
        <f>F131*(1-0.0639933816730741)</f>
        <v>0</v>
      </c>
      <c r="AG131" s="31" t="s">
        <v>7</v>
      </c>
      <c r="AM131" s="35">
        <f>E131*AE131</f>
        <v>0</v>
      </c>
      <c r="AN131" s="35">
        <f>E131*AF131</f>
        <v>0</v>
      </c>
      <c r="AO131" s="36" t="s">
        <v>568</v>
      </c>
      <c r="AP131" s="36" t="s">
        <v>579</v>
      </c>
      <c r="AQ131" s="28" t="s">
        <v>584</v>
      </c>
      <c r="AS131" s="35">
        <f>AM131+AN131</f>
        <v>0</v>
      </c>
      <c r="AT131" s="35">
        <f>F131/(100-AU131)*100</f>
        <v>0</v>
      </c>
      <c r="AU131" s="35">
        <v>0</v>
      </c>
      <c r="AV131" s="35">
        <f>K131</f>
        <v>1.9799999999999998E-2</v>
      </c>
    </row>
    <row r="132" spans="1:48" x14ac:dyDescent="0.2">
      <c r="C132" s="15" t="s">
        <v>66</v>
      </c>
      <c r="E132" s="20">
        <v>60</v>
      </c>
    </row>
    <row r="133" spans="1:48" x14ac:dyDescent="0.2">
      <c r="A133" s="4" t="s">
        <v>47</v>
      </c>
      <c r="B133" s="4" t="s">
        <v>173</v>
      </c>
      <c r="C133" s="4" t="s">
        <v>369</v>
      </c>
      <c r="D133" s="4" t="s">
        <v>523</v>
      </c>
      <c r="E133" s="19">
        <v>10.5</v>
      </c>
      <c r="F133" s="19">
        <v>0</v>
      </c>
      <c r="G133" s="19">
        <f>E133*AE133</f>
        <v>0</v>
      </c>
      <c r="H133" s="19">
        <f>I133-G133</f>
        <v>0</v>
      </c>
      <c r="I133" s="19">
        <f>E133*F133</f>
        <v>0</v>
      </c>
      <c r="J133" s="19">
        <v>0</v>
      </c>
      <c r="K133" s="19">
        <f>E133*J133</f>
        <v>0</v>
      </c>
      <c r="L133" s="31" t="s">
        <v>548</v>
      </c>
      <c r="P133" s="35">
        <f>IF(AG133="5",I133,0)</f>
        <v>0</v>
      </c>
      <c r="R133" s="35">
        <f>IF(AG133="1",G133,0)</f>
        <v>0</v>
      </c>
      <c r="S133" s="35">
        <f>IF(AG133="1",H133,0)</f>
        <v>0</v>
      </c>
      <c r="T133" s="35">
        <f>IF(AG133="7",G133,0)</f>
        <v>0</v>
      </c>
      <c r="U133" s="35">
        <f>IF(AG133="7",H133,0)</f>
        <v>0</v>
      </c>
      <c r="V133" s="35">
        <f>IF(AG133="2",G133,0)</f>
        <v>0</v>
      </c>
      <c r="W133" s="35">
        <f>IF(AG133="2",H133,0)</f>
        <v>0</v>
      </c>
      <c r="X133" s="35">
        <f>IF(AG133="0",I133,0)</f>
        <v>0</v>
      </c>
      <c r="Y133" s="28"/>
      <c r="Z133" s="19">
        <f>IF(AD133=0,I133,0)</f>
        <v>0</v>
      </c>
      <c r="AA133" s="19">
        <f>IF(AD133=15,I133,0)</f>
        <v>0</v>
      </c>
      <c r="AB133" s="19">
        <f>IF(AD133=21,I133,0)</f>
        <v>0</v>
      </c>
      <c r="AD133" s="35">
        <v>21</v>
      </c>
      <c r="AE133" s="35">
        <f>F133*0</f>
        <v>0</v>
      </c>
      <c r="AF133" s="35">
        <f>F133*(1-0)</f>
        <v>0</v>
      </c>
      <c r="AG133" s="31" t="s">
        <v>7</v>
      </c>
      <c r="AM133" s="35">
        <f>E133*AE133</f>
        <v>0</v>
      </c>
      <c r="AN133" s="35">
        <f>E133*AF133</f>
        <v>0</v>
      </c>
      <c r="AO133" s="36" t="s">
        <v>568</v>
      </c>
      <c r="AP133" s="36" t="s">
        <v>579</v>
      </c>
      <c r="AQ133" s="28" t="s">
        <v>584</v>
      </c>
      <c r="AS133" s="35">
        <f>AM133+AN133</f>
        <v>0</v>
      </c>
      <c r="AT133" s="35">
        <f>F133/(100-AU133)*100</f>
        <v>0</v>
      </c>
      <c r="AU133" s="35">
        <v>0</v>
      </c>
      <c r="AV133" s="35">
        <f>K133</f>
        <v>0</v>
      </c>
    </row>
    <row r="134" spans="1:48" x14ac:dyDescent="0.2">
      <c r="C134" s="15" t="s">
        <v>370</v>
      </c>
      <c r="E134" s="20">
        <v>10.5</v>
      </c>
    </row>
    <row r="135" spans="1:48" x14ac:dyDescent="0.2">
      <c r="B135" s="12" t="s">
        <v>133</v>
      </c>
      <c r="C135" s="112" t="s">
        <v>371</v>
      </c>
      <c r="D135" s="113"/>
      <c r="E135" s="113"/>
      <c r="F135" s="113"/>
      <c r="G135" s="113"/>
      <c r="H135" s="113"/>
      <c r="I135" s="113"/>
      <c r="J135" s="113"/>
      <c r="K135" s="113"/>
      <c r="L135" s="113"/>
    </row>
    <row r="136" spans="1:48" x14ac:dyDescent="0.2">
      <c r="A136" s="4" t="s">
        <v>48</v>
      </c>
      <c r="B136" s="4" t="s">
        <v>174</v>
      </c>
      <c r="C136" s="4" t="s">
        <v>372</v>
      </c>
      <c r="D136" s="4" t="s">
        <v>523</v>
      </c>
      <c r="E136" s="19">
        <v>10.5</v>
      </c>
      <c r="F136" s="19">
        <v>0</v>
      </c>
      <c r="G136" s="19">
        <f>E136*AE136</f>
        <v>0</v>
      </c>
      <c r="H136" s="19">
        <f>I136-G136</f>
        <v>0</v>
      </c>
      <c r="I136" s="19">
        <f>E136*F136</f>
        <v>0</v>
      </c>
      <c r="J136" s="19">
        <v>0</v>
      </c>
      <c r="K136" s="19">
        <f>E136*J136</f>
        <v>0</v>
      </c>
      <c r="L136" s="31" t="s">
        <v>548</v>
      </c>
      <c r="P136" s="35">
        <f>IF(AG136="5",I136,0)</f>
        <v>0</v>
      </c>
      <c r="R136" s="35">
        <f>IF(AG136="1",G136,0)</f>
        <v>0</v>
      </c>
      <c r="S136" s="35">
        <f>IF(AG136="1",H136,0)</f>
        <v>0</v>
      </c>
      <c r="T136" s="35">
        <f>IF(AG136="7",G136,0)</f>
        <v>0</v>
      </c>
      <c r="U136" s="35">
        <f>IF(AG136="7",H136,0)</f>
        <v>0</v>
      </c>
      <c r="V136" s="35">
        <f>IF(AG136="2",G136,0)</f>
        <v>0</v>
      </c>
      <c r="W136" s="35">
        <f>IF(AG136="2",H136,0)</f>
        <v>0</v>
      </c>
      <c r="X136" s="35">
        <f>IF(AG136="0",I136,0)</f>
        <v>0</v>
      </c>
      <c r="Y136" s="28"/>
      <c r="Z136" s="19">
        <f>IF(AD136=0,I136,0)</f>
        <v>0</v>
      </c>
      <c r="AA136" s="19">
        <f>IF(AD136=15,I136,0)</f>
        <v>0</v>
      </c>
      <c r="AB136" s="19">
        <f>IF(AD136=21,I136,0)</f>
        <v>0</v>
      </c>
      <c r="AD136" s="35">
        <v>21</v>
      </c>
      <c r="AE136" s="35">
        <f>F136*0</f>
        <v>0</v>
      </c>
      <c r="AF136" s="35">
        <f>F136*(1-0)</f>
        <v>0</v>
      </c>
      <c r="AG136" s="31" t="s">
        <v>7</v>
      </c>
      <c r="AM136" s="35">
        <f>E136*AE136</f>
        <v>0</v>
      </c>
      <c r="AN136" s="35">
        <f>E136*AF136</f>
        <v>0</v>
      </c>
      <c r="AO136" s="36" t="s">
        <v>568</v>
      </c>
      <c r="AP136" s="36" t="s">
        <v>579</v>
      </c>
      <c r="AQ136" s="28" t="s">
        <v>584</v>
      </c>
      <c r="AS136" s="35">
        <f>AM136+AN136</f>
        <v>0</v>
      </c>
      <c r="AT136" s="35">
        <f>F136/(100-AU136)*100</f>
        <v>0</v>
      </c>
      <c r="AU136" s="35">
        <v>0</v>
      </c>
      <c r="AV136" s="35">
        <f>K136</f>
        <v>0</v>
      </c>
    </row>
    <row r="137" spans="1:48" x14ac:dyDescent="0.2">
      <c r="C137" s="15" t="s">
        <v>370</v>
      </c>
      <c r="E137" s="20">
        <v>10.5</v>
      </c>
    </row>
    <row r="138" spans="1:48" x14ac:dyDescent="0.2">
      <c r="B138" s="12" t="s">
        <v>133</v>
      </c>
      <c r="C138" s="112" t="s">
        <v>371</v>
      </c>
      <c r="D138" s="113"/>
      <c r="E138" s="113"/>
      <c r="F138" s="113"/>
      <c r="G138" s="113"/>
      <c r="H138" s="113"/>
      <c r="I138" s="113"/>
      <c r="J138" s="113"/>
      <c r="K138" s="113"/>
      <c r="L138" s="113"/>
    </row>
    <row r="139" spans="1:48" x14ac:dyDescent="0.2">
      <c r="A139" s="4" t="s">
        <v>49</v>
      </c>
      <c r="B139" s="4" t="s">
        <v>175</v>
      </c>
      <c r="C139" s="4" t="s">
        <v>373</v>
      </c>
      <c r="D139" s="4" t="s">
        <v>523</v>
      </c>
      <c r="E139" s="19">
        <v>12.5</v>
      </c>
      <c r="F139" s="19">
        <v>0</v>
      </c>
      <c r="G139" s="19">
        <f>E139*AE139</f>
        <v>0</v>
      </c>
      <c r="H139" s="19">
        <f>I139-G139</f>
        <v>0</v>
      </c>
      <c r="I139" s="19">
        <f>E139*F139</f>
        <v>0</v>
      </c>
      <c r="J139" s="19">
        <v>7.3899999999999993E-2</v>
      </c>
      <c r="K139" s="19">
        <f>E139*J139</f>
        <v>0.92374999999999996</v>
      </c>
      <c r="L139" s="31" t="s">
        <v>548</v>
      </c>
      <c r="P139" s="35">
        <f>IF(AG139="5",I139,0)</f>
        <v>0</v>
      </c>
      <c r="R139" s="35">
        <f>IF(AG139="1",G139,0)</f>
        <v>0</v>
      </c>
      <c r="S139" s="35">
        <f>IF(AG139="1",H139,0)</f>
        <v>0</v>
      </c>
      <c r="T139" s="35">
        <f>IF(AG139="7",G139,0)</f>
        <v>0</v>
      </c>
      <c r="U139" s="35">
        <f>IF(AG139="7",H139,0)</f>
        <v>0</v>
      </c>
      <c r="V139" s="35">
        <f>IF(AG139="2",G139,0)</f>
        <v>0</v>
      </c>
      <c r="W139" s="35">
        <f>IF(AG139="2",H139,0)</f>
        <v>0</v>
      </c>
      <c r="X139" s="35">
        <f>IF(AG139="0",I139,0)</f>
        <v>0</v>
      </c>
      <c r="Y139" s="28"/>
      <c r="Z139" s="19">
        <f>IF(AD139=0,I139,0)</f>
        <v>0</v>
      </c>
      <c r="AA139" s="19">
        <f>IF(AD139=15,I139,0)</f>
        <v>0</v>
      </c>
      <c r="AB139" s="19">
        <f>IF(AD139=21,I139,0)</f>
        <v>0</v>
      </c>
      <c r="AD139" s="35">
        <v>21</v>
      </c>
      <c r="AE139" s="35">
        <f>F139*0.157789434469362</f>
        <v>0</v>
      </c>
      <c r="AF139" s="35">
        <f>F139*(1-0.157789434469362)</f>
        <v>0</v>
      </c>
      <c r="AG139" s="31" t="s">
        <v>7</v>
      </c>
      <c r="AM139" s="35">
        <f>E139*AE139</f>
        <v>0</v>
      </c>
      <c r="AN139" s="35">
        <f>E139*AF139</f>
        <v>0</v>
      </c>
      <c r="AO139" s="36" t="s">
        <v>568</v>
      </c>
      <c r="AP139" s="36" t="s">
        <v>579</v>
      </c>
      <c r="AQ139" s="28" t="s">
        <v>584</v>
      </c>
      <c r="AS139" s="35">
        <f>AM139+AN139</f>
        <v>0</v>
      </c>
      <c r="AT139" s="35">
        <f>F139/(100-AU139)*100</f>
        <v>0</v>
      </c>
      <c r="AU139" s="35">
        <v>0</v>
      </c>
      <c r="AV139" s="35">
        <f>K139</f>
        <v>0.92374999999999996</v>
      </c>
    </row>
    <row r="140" spans="1:48" x14ac:dyDescent="0.2">
      <c r="C140" s="15" t="s">
        <v>374</v>
      </c>
      <c r="E140" s="20">
        <v>12.5</v>
      </c>
    </row>
    <row r="141" spans="1:48" ht="38.450000000000003" customHeight="1" x14ac:dyDescent="0.2">
      <c r="B141" s="12" t="s">
        <v>133</v>
      </c>
      <c r="C141" s="112" t="s">
        <v>375</v>
      </c>
      <c r="D141" s="113"/>
      <c r="E141" s="113"/>
      <c r="F141" s="113"/>
      <c r="G141" s="113"/>
      <c r="H141" s="113"/>
      <c r="I141" s="113"/>
      <c r="J141" s="113"/>
      <c r="K141" s="113"/>
      <c r="L141" s="113"/>
    </row>
    <row r="142" spans="1:48" x14ac:dyDescent="0.2">
      <c r="A142" s="6" t="s">
        <v>50</v>
      </c>
      <c r="B142" s="6" t="s">
        <v>176</v>
      </c>
      <c r="C142" s="6" t="s">
        <v>376</v>
      </c>
      <c r="D142" s="6" t="s">
        <v>523</v>
      </c>
      <c r="E142" s="21">
        <v>5.2519999999999998</v>
      </c>
      <c r="F142" s="21">
        <v>0</v>
      </c>
      <c r="G142" s="21">
        <f>E142*AE142</f>
        <v>0</v>
      </c>
      <c r="H142" s="21">
        <f>I142-G142</f>
        <v>0</v>
      </c>
      <c r="I142" s="21">
        <f>E142*F142</f>
        <v>0</v>
      </c>
      <c r="J142" s="21">
        <v>0.17599999999999999</v>
      </c>
      <c r="K142" s="21">
        <f>E142*J142</f>
        <v>0.92435199999999995</v>
      </c>
      <c r="L142" s="32" t="s">
        <v>548</v>
      </c>
      <c r="P142" s="35">
        <f>IF(AG142="5",I142,0)</f>
        <v>0</v>
      </c>
      <c r="R142" s="35">
        <f>IF(AG142="1",G142,0)</f>
        <v>0</v>
      </c>
      <c r="S142" s="35">
        <f>IF(AG142="1",H142,0)</f>
        <v>0</v>
      </c>
      <c r="T142" s="35">
        <f>IF(AG142="7",G142,0)</f>
        <v>0</v>
      </c>
      <c r="U142" s="35">
        <f>IF(AG142="7",H142,0)</f>
        <v>0</v>
      </c>
      <c r="V142" s="35">
        <f>IF(AG142="2",G142,0)</f>
        <v>0</v>
      </c>
      <c r="W142" s="35">
        <f>IF(AG142="2",H142,0)</f>
        <v>0</v>
      </c>
      <c r="X142" s="35">
        <f>IF(AG142="0",I142,0)</f>
        <v>0</v>
      </c>
      <c r="Y142" s="28"/>
      <c r="Z142" s="21">
        <f>IF(AD142=0,I142,0)</f>
        <v>0</v>
      </c>
      <c r="AA142" s="21">
        <f>IF(AD142=15,I142,0)</f>
        <v>0</v>
      </c>
      <c r="AB142" s="21">
        <f>IF(AD142=21,I142,0)</f>
        <v>0</v>
      </c>
      <c r="AD142" s="35">
        <v>21</v>
      </c>
      <c r="AE142" s="35">
        <f>F142*1</f>
        <v>0</v>
      </c>
      <c r="AF142" s="35">
        <f>F142*(1-1)</f>
        <v>0</v>
      </c>
      <c r="AG142" s="32" t="s">
        <v>7</v>
      </c>
      <c r="AM142" s="35">
        <f>E142*AE142</f>
        <v>0</v>
      </c>
      <c r="AN142" s="35">
        <f>E142*AF142</f>
        <v>0</v>
      </c>
      <c r="AO142" s="36" t="s">
        <v>568</v>
      </c>
      <c r="AP142" s="36" t="s">
        <v>579</v>
      </c>
      <c r="AQ142" s="28" t="s">
        <v>584</v>
      </c>
      <c r="AS142" s="35">
        <f>AM142+AN142</f>
        <v>0</v>
      </c>
      <c r="AT142" s="35">
        <f>F142/(100-AU142)*100</f>
        <v>0</v>
      </c>
      <c r="AU142" s="35">
        <v>0</v>
      </c>
      <c r="AV142" s="35">
        <f>K142</f>
        <v>0.92435199999999995</v>
      </c>
    </row>
    <row r="143" spans="1:48" x14ac:dyDescent="0.2">
      <c r="C143" s="15" t="s">
        <v>377</v>
      </c>
      <c r="E143" s="20">
        <v>5.2</v>
      </c>
    </row>
    <row r="144" spans="1:48" x14ac:dyDescent="0.2">
      <c r="C144" s="15" t="s">
        <v>378</v>
      </c>
      <c r="E144" s="20">
        <v>5.1999999999999998E-2</v>
      </c>
    </row>
    <row r="145" spans="1:48" x14ac:dyDescent="0.2">
      <c r="B145" s="12" t="s">
        <v>133</v>
      </c>
      <c r="C145" s="112" t="s">
        <v>363</v>
      </c>
      <c r="D145" s="113"/>
      <c r="E145" s="113"/>
      <c r="F145" s="113"/>
      <c r="G145" s="113"/>
      <c r="H145" s="113"/>
      <c r="I145" s="113"/>
      <c r="J145" s="113"/>
      <c r="K145" s="113"/>
      <c r="L145" s="113"/>
    </row>
    <row r="146" spans="1:48" x14ac:dyDescent="0.2">
      <c r="A146" s="6" t="s">
        <v>51</v>
      </c>
      <c r="B146" s="6" t="s">
        <v>177</v>
      </c>
      <c r="C146" s="6" t="s">
        <v>379</v>
      </c>
      <c r="D146" s="6" t="s">
        <v>523</v>
      </c>
      <c r="E146" s="21">
        <v>7.3730000000000002</v>
      </c>
      <c r="F146" s="21">
        <v>0</v>
      </c>
      <c r="G146" s="21">
        <f>E146*AE146</f>
        <v>0</v>
      </c>
      <c r="H146" s="21">
        <f>I146-G146</f>
        <v>0</v>
      </c>
      <c r="I146" s="21">
        <f>E146*F146</f>
        <v>0</v>
      </c>
      <c r="J146" s="21">
        <v>0.17599999999999999</v>
      </c>
      <c r="K146" s="21">
        <f>E146*J146</f>
        <v>1.2976479999999999</v>
      </c>
      <c r="L146" s="32" t="s">
        <v>548</v>
      </c>
      <c r="P146" s="35">
        <f>IF(AG146="5",I146,0)</f>
        <v>0</v>
      </c>
      <c r="R146" s="35">
        <f>IF(AG146="1",G146,0)</f>
        <v>0</v>
      </c>
      <c r="S146" s="35">
        <f>IF(AG146="1",H146,0)</f>
        <v>0</v>
      </c>
      <c r="T146" s="35">
        <f>IF(AG146="7",G146,0)</f>
        <v>0</v>
      </c>
      <c r="U146" s="35">
        <f>IF(AG146="7",H146,0)</f>
        <v>0</v>
      </c>
      <c r="V146" s="35">
        <f>IF(AG146="2",G146,0)</f>
        <v>0</v>
      </c>
      <c r="W146" s="35">
        <f>IF(AG146="2",H146,0)</f>
        <v>0</v>
      </c>
      <c r="X146" s="35">
        <f>IF(AG146="0",I146,0)</f>
        <v>0</v>
      </c>
      <c r="Y146" s="28"/>
      <c r="Z146" s="21">
        <f>IF(AD146=0,I146,0)</f>
        <v>0</v>
      </c>
      <c r="AA146" s="21">
        <f>IF(AD146=15,I146,0)</f>
        <v>0</v>
      </c>
      <c r="AB146" s="21">
        <f>IF(AD146=21,I146,0)</f>
        <v>0</v>
      </c>
      <c r="AD146" s="35">
        <v>21</v>
      </c>
      <c r="AE146" s="35">
        <f>F146*1</f>
        <v>0</v>
      </c>
      <c r="AF146" s="35">
        <f>F146*(1-1)</f>
        <v>0</v>
      </c>
      <c r="AG146" s="32" t="s">
        <v>7</v>
      </c>
      <c r="AM146" s="35">
        <f>E146*AE146</f>
        <v>0</v>
      </c>
      <c r="AN146" s="35">
        <f>E146*AF146</f>
        <v>0</v>
      </c>
      <c r="AO146" s="36" t="s">
        <v>568</v>
      </c>
      <c r="AP146" s="36" t="s">
        <v>579</v>
      </c>
      <c r="AQ146" s="28" t="s">
        <v>584</v>
      </c>
      <c r="AS146" s="35">
        <f>AM146+AN146</f>
        <v>0</v>
      </c>
      <c r="AT146" s="35">
        <f>F146/(100-AU146)*100</f>
        <v>0</v>
      </c>
      <c r="AU146" s="35">
        <v>0</v>
      </c>
      <c r="AV146" s="35">
        <f>K146</f>
        <v>1.2976479999999999</v>
      </c>
    </row>
    <row r="147" spans="1:48" x14ac:dyDescent="0.2">
      <c r="C147" s="15" t="s">
        <v>380</v>
      </c>
      <c r="E147" s="20">
        <v>7.3</v>
      </c>
    </row>
    <row r="148" spans="1:48" x14ac:dyDescent="0.2">
      <c r="C148" s="15" t="s">
        <v>381</v>
      </c>
      <c r="E148" s="20">
        <v>7.2999999999999995E-2</v>
      </c>
    </row>
    <row r="149" spans="1:48" x14ac:dyDescent="0.2">
      <c r="B149" s="12" t="s">
        <v>133</v>
      </c>
      <c r="C149" s="112" t="s">
        <v>359</v>
      </c>
      <c r="D149" s="113"/>
      <c r="E149" s="113"/>
      <c r="F149" s="113"/>
      <c r="G149" s="113"/>
      <c r="H149" s="113"/>
      <c r="I149" s="113"/>
      <c r="J149" s="113"/>
      <c r="K149" s="113"/>
      <c r="L149" s="113"/>
    </row>
    <row r="150" spans="1:48" x14ac:dyDescent="0.2">
      <c r="A150" s="4" t="s">
        <v>52</v>
      </c>
      <c r="B150" s="4" t="s">
        <v>178</v>
      </c>
      <c r="C150" s="4" t="s">
        <v>382</v>
      </c>
      <c r="D150" s="4" t="s">
        <v>523</v>
      </c>
      <c r="E150" s="19">
        <v>5.2</v>
      </c>
      <c r="F150" s="19">
        <v>0</v>
      </c>
      <c r="G150" s="19">
        <f>E150*AE150</f>
        <v>0</v>
      </c>
      <c r="H150" s="19">
        <f>I150-G150</f>
        <v>0</v>
      </c>
      <c r="I150" s="19">
        <f>E150*F150</f>
        <v>0</v>
      </c>
      <c r="J150" s="19">
        <v>0</v>
      </c>
      <c r="K150" s="19">
        <f>E150*J150</f>
        <v>0</v>
      </c>
      <c r="L150" s="31" t="s">
        <v>548</v>
      </c>
      <c r="P150" s="35">
        <f>IF(AG150="5",I150,0)</f>
        <v>0</v>
      </c>
      <c r="R150" s="35">
        <f>IF(AG150="1",G150,0)</f>
        <v>0</v>
      </c>
      <c r="S150" s="35">
        <f>IF(AG150="1",H150,0)</f>
        <v>0</v>
      </c>
      <c r="T150" s="35">
        <f>IF(AG150="7",G150,0)</f>
        <v>0</v>
      </c>
      <c r="U150" s="35">
        <f>IF(AG150="7",H150,0)</f>
        <v>0</v>
      </c>
      <c r="V150" s="35">
        <f>IF(AG150="2",G150,0)</f>
        <v>0</v>
      </c>
      <c r="W150" s="35">
        <f>IF(AG150="2",H150,0)</f>
        <v>0</v>
      </c>
      <c r="X150" s="35">
        <f>IF(AG150="0",I150,0)</f>
        <v>0</v>
      </c>
      <c r="Y150" s="28"/>
      <c r="Z150" s="19">
        <f>IF(AD150=0,I150,0)</f>
        <v>0</v>
      </c>
      <c r="AA150" s="19">
        <f>IF(AD150=15,I150,0)</f>
        <v>0</v>
      </c>
      <c r="AB150" s="19">
        <f>IF(AD150=21,I150,0)</f>
        <v>0</v>
      </c>
      <c r="AD150" s="35">
        <v>21</v>
      </c>
      <c r="AE150" s="35">
        <f>F150*0</f>
        <v>0</v>
      </c>
      <c r="AF150" s="35">
        <f>F150*(1-0)</f>
        <v>0</v>
      </c>
      <c r="AG150" s="31" t="s">
        <v>7</v>
      </c>
      <c r="AM150" s="35">
        <f>E150*AE150</f>
        <v>0</v>
      </c>
      <c r="AN150" s="35">
        <f>E150*AF150</f>
        <v>0</v>
      </c>
      <c r="AO150" s="36" t="s">
        <v>568</v>
      </c>
      <c r="AP150" s="36" t="s">
        <v>579</v>
      </c>
      <c r="AQ150" s="28" t="s">
        <v>584</v>
      </c>
      <c r="AS150" s="35">
        <f>AM150+AN150</f>
        <v>0</v>
      </c>
      <c r="AT150" s="35">
        <f>F150/(100-AU150)*100</f>
        <v>0</v>
      </c>
      <c r="AU150" s="35">
        <v>0</v>
      </c>
      <c r="AV150" s="35">
        <f>K150</f>
        <v>0</v>
      </c>
    </row>
    <row r="151" spans="1:48" x14ac:dyDescent="0.2">
      <c r="C151" s="15" t="s">
        <v>377</v>
      </c>
      <c r="E151" s="20">
        <v>5.2</v>
      </c>
    </row>
    <row r="152" spans="1:48" x14ac:dyDescent="0.2">
      <c r="B152" s="12" t="s">
        <v>133</v>
      </c>
      <c r="C152" s="112" t="s">
        <v>371</v>
      </c>
      <c r="D152" s="113"/>
      <c r="E152" s="113"/>
      <c r="F152" s="113"/>
      <c r="G152" s="113"/>
      <c r="H152" s="113"/>
      <c r="I152" s="113"/>
      <c r="J152" s="113"/>
      <c r="K152" s="113"/>
      <c r="L152" s="113"/>
    </row>
    <row r="153" spans="1:48" x14ac:dyDescent="0.2">
      <c r="A153" s="4" t="s">
        <v>53</v>
      </c>
      <c r="B153" s="4" t="s">
        <v>179</v>
      </c>
      <c r="C153" s="4" t="s">
        <v>383</v>
      </c>
      <c r="D153" s="4" t="s">
        <v>523</v>
      </c>
      <c r="E153" s="19">
        <v>5.2</v>
      </c>
      <c r="F153" s="19">
        <v>0</v>
      </c>
      <c r="G153" s="19">
        <f>E153*AE153</f>
        <v>0</v>
      </c>
      <c r="H153" s="19">
        <f>I153-G153</f>
        <v>0</v>
      </c>
      <c r="I153" s="19">
        <f>E153*F153</f>
        <v>0</v>
      </c>
      <c r="J153" s="19">
        <v>0</v>
      </c>
      <c r="K153" s="19">
        <f>E153*J153</f>
        <v>0</v>
      </c>
      <c r="L153" s="31" t="s">
        <v>548</v>
      </c>
      <c r="P153" s="35">
        <f>IF(AG153="5",I153,0)</f>
        <v>0</v>
      </c>
      <c r="R153" s="35">
        <f>IF(AG153="1",G153,0)</f>
        <v>0</v>
      </c>
      <c r="S153" s="35">
        <f>IF(AG153="1",H153,0)</f>
        <v>0</v>
      </c>
      <c r="T153" s="35">
        <f>IF(AG153="7",G153,0)</f>
        <v>0</v>
      </c>
      <c r="U153" s="35">
        <f>IF(AG153="7",H153,0)</f>
        <v>0</v>
      </c>
      <c r="V153" s="35">
        <f>IF(AG153="2",G153,0)</f>
        <v>0</v>
      </c>
      <c r="W153" s="35">
        <f>IF(AG153="2",H153,0)</f>
        <v>0</v>
      </c>
      <c r="X153" s="35">
        <f>IF(AG153="0",I153,0)</f>
        <v>0</v>
      </c>
      <c r="Y153" s="28"/>
      <c r="Z153" s="19">
        <f>IF(AD153=0,I153,0)</f>
        <v>0</v>
      </c>
      <c r="AA153" s="19">
        <f>IF(AD153=15,I153,0)</f>
        <v>0</v>
      </c>
      <c r="AB153" s="19">
        <f>IF(AD153=21,I153,0)</f>
        <v>0</v>
      </c>
      <c r="AD153" s="35">
        <v>21</v>
      </c>
      <c r="AE153" s="35">
        <f>F153*0</f>
        <v>0</v>
      </c>
      <c r="AF153" s="35">
        <f>F153*(1-0)</f>
        <v>0</v>
      </c>
      <c r="AG153" s="31" t="s">
        <v>7</v>
      </c>
      <c r="AM153" s="35">
        <f>E153*AE153</f>
        <v>0</v>
      </c>
      <c r="AN153" s="35">
        <f>E153*AF153</f>
        <v>0</v>
      </c>
      <c r="AO153" s="36" t="s">
        <v>568</v>
      </c>
      <c r="AP153" s="36" t="s">
        <v>579</v>
      </c>
      <c r="AQ153" s="28" t="s">
        <v>584</v>
      </c>
      <c r="AS153" s="35">
        <f>AM153+AN153</f>
        <v>0</v>
      </c>
      <c r="AT153" s="35">
        <f>F153/(100-AU153)*100</f>
        <v>0</v>
      </c>
      <c r="AU153" s="35">
        <v>0</v>
      </c>
      <c r="AV153" s="35">
        <f>K153</f>
        <v>0</v>
      </c>
    </row>
    <row r="154" spans="1:48" x14ac:dyDescent="0.2">
      <c r="C154" s="15" t="s">
        <v>377</v>
      </c>
      <c r="E154" s="20">
        <v>5.2</v>
      </c>
    </row>
    <row r="155" spans="1:48" x14ac:dyDescent="0.2">
      <c r="B155" s="12" t="s">
        <v>133</v>
      </c>
      <c r="C155" s="112" t="s">
        <v>371</v>
      </c>
      <c r="D155" s="113"/>
      <c r="E155" s="113"/>
      <c r="F155" s="113"/>
      <c r="G155" s="113"/>
      <c r="H155" s="113"/>
      <c r="I155" s="113"/>
      <c r="J155" s="113"/>
      <c r="K155" s="113"/>
      <c r="L155" s="113"/>
    </row>
    <row r="156" spans="1:48" x14ac:dyDescent="0.2">
      <c r="A156" s="5"/>
      <c r="B156" s="13" t="s">
        <v>180</v>
      </c>
      <c r="C156" s="13" t="s">
        <v>384</v>
      </c>
      <c r="D156" s="5" t="s">
        <v>6</v>
      </c>
      <c r="E156" s="5" t="s">
        <v>6</v>
      </c>
      <c r="F156" s="5" t="s">
        <v>6</v>
      </c>
      <c r="G156" s="38">
        <f>SUM(G157:G161)</f>
        <v>0</v>
      </c>
      <c r="H156" s="38">
        <f>SUM(H157:H161)</f>
        <v>0</v>
      </c>
      <c r="I156" s="38">
        <f>G156+H156</f>
        <v>0</v>
      </c>
      <c r="J156" s="28"/>
      <c r="K156" s="38">
        <f>SUM(K157:K161)</f>
        <v>0.31822000000000006</v>
      </c>
      <c r="L156" s="28"/>
      <c r="Y156" s="28"/>
      <c r="AI156" s="38">
        <f>SUM(Z157:Z161)</f>
        <v>0</v>
      </c>
      <c r="AJ156" s="38">
        <f>SUM(AA157:AA161)</f>
        <v>0</v>
      </c>
      <c r="AK156" s="38">
        <f>SUM(AB157:AB161)</f>
        <v>0</v>
      </c>
    </row>
    <row r="157" spans="1:48" x14ac:dyDescent="0.2">
      <c r="A157" s="4" t="s">
        <v>54</v>
      </c>
      <c r="B157" s="4" t="s">
        <v>181</v>
      </c>
      <c r="C157" s="4" t="s">
        <v>385</v>
      </c>
      <c r="D157" s="4" t="s">
        <v>524</v>
      </c>
      <c r="E157" s="19">
        <v>6</v>
      </c>
      <c r="F157" s="19">
        <v>0</v>
      </c>
      <c r="G157" s="19">
        <f>E157*AE157</f>
        <v>0</v>
      </c>
      <c r="H157" s="19">
        <f>I157-G157</f>
        <v>0</v>
      </c>
      <c r="I157" s="19">
        <f>E157*F157</f>
        <v>0</v>
      </c>
      <c r="J157" s="19">
        <v>3.065E-2</v>
      </c>
      <c r="K157" s="19">
        <f>E157*J157</f>
        <v>0.18390000000000001</v>
      </c>
      <c r="L157" s="31" t="s">
        <v>548</v>
      </c>
      <c r="P157" s="35">
        <f>IF(AG157="5",I157,0)</f>
        <v>0</v>
      </c>
      <c r="R157" s="35">
        <f>IF(AG157="1",G157,0)</f>
        <v>0</v>
      </c>
      <c r="S157" s="35">
        <f>IF(AG157="1",H157,0)</f>
        <v>0</v>
      </c>
      <c r="T157" s="35">
        <f>IF(AG157="7",G157,0)</f>
        <v>0</v>
      </c>
      <c r="U157" s="35">
        <f>IF(AG157="7",H157,0)</f>
        <v>0</v>
      </c>
      <c r="V157" s="35">
        <f>IF(AG157="2",G157,0)</f>
        <v>0</v>
      </c>
      <c r="W157" s="35">
        <f>IF(AG157="2",H157,0)</f>
        <v>0</v>
      </c>
      <c r="X157" s="35">
        <f>IF(AG157="0",I157,0)</f>
        <v>0</v>
      </c>
      <c r="Y157" s="28"/>
      <c r="Z157" s="19">
        <f>IF(AD157=0,I157,0)</f>
        <v>0</v>
      </c>
      <c r="AA157" s="19">
        <f>IF(AD157=15,I157,0)</f>
        <v>0</v>
      </c>
      <c r="AB157" s="19">
        <f>IF(AD157=21,I157,0)</f>
        <v>0</v>
      </c>
      <c r="AD157" s="35">
        <v>21</v>
      </c>
      <c r="AE157" s="35">
        <f>F157*0</f>
        <v>0</v>
      </c>
      <c r="AF157" s="35">
        <f>F157*(1-0)</f>
        <v>0</v>
      </c>
      <c r="AG157" s="31" t="s">
        <v>13</v>
      </c>
      <c r="AM157" s="35">
        <f>E157*AE157</f>
        <v>0</v>
      </c>
      <c r="AN157" s="35">
        <f>E157*AF157</f>
        <v>0</v>
      </c>
      <c r="AO157" s="36" t="s">
        <v>569</v>
      </c>
      <c r="AP157" s="36" t="s">
        <v>580</v>
      </c>
      <c r="AQ157" s="28" t="s">
        <v>584</v>
      </c>
      <c r="AS157" s="35">
        <f>AM157+AN157</f>
        <v>0</v>
      </c>
      <c r="AT157" s="35">
        <f>F157/(100-AU157)*100</f>
        <v>0</v>
      </c>
      <c r="AU157" s="35">
        <v>0</v>
      </c>
      <c r="AV157" s="35">
        <f>K157</f>
        <v>0.18390000000000001</v>
      </c>
    </row>
    <row r="158" spans="1:48" x14ac:dyDescent="0.2">
      <c r="C158" s="15" t="s">
        <v>12</v>
      </c>
      <c r="E158" s="20">
        <v>6</v>
      </c>
    </row>
    <row r="159" spans="1:48" x14ac:dyDescent="0.2">
      <c r="A159" s="4" t="s">
        <v>55</v>
      </c>
      <c r="B159" s="4" t="s">
        <v>182</v>
      </c>
      <c r="C159" s="4" t="s">
        <v>386</v>
      </c>
      <c r="D159" s="4" t="s">
        <v>527</v>
      </c>
      <c r="E159" s="19">
        <v>1</v>
      </c>
      <c r="F159" s="19">
        <v>0</v>
      </c>
      <c r="G159" s="19">
        <f>E159*AE159</f>
        <v>0</v>
      </c>
      <c r="H159" s="19">
        <f>I159-G159</f>
        <v>0</v>
      </c>
      <c r="I159" s="19">
        <f>E159*F159</f>
        <v>0</v>
      </c>
      <c r="J159" s="19">
        <v>3.4320000000000003E-2</v>
      </c>
      <c r="K159" s="19">
        <f>E159*J159</f>
        <v>3.4320000000000003E-2</v>
      </c>
      <c r="L159" s="31" t="s">
        <v>548</v>
      </c>
      <c r="P159" s="35">
        <f>IF(AG159="5",I159,0)</f>
        <v>0</v>
      </c>
      <c r="R159" s="35">
        <f>IF(AG159="1",G159,0)</f>
        <v>0</v>
      </c>
      <c r="S159" s="35">
        <f>IF(AG159="1",H159,0)</f>
        <v>0</v>
      </c>
      <c r="T159" s="35">
        <f>IF(AG159="7",G159,0)</f>
        <v>0</v>
      </c>
      <c r="U159" s="35">
        <f>IF(AG159="7",H159,0)</f>
        <v>0</v>
      </c>
      <c r="V159" s="35">
        <f>IF(AG159="2",G159,0)</f>
        <v>0</v>
      </c>
      <c r="W159" s="35">
        <f>IF(AG159="2",H159,0)</f>
        <v>0</v>
      </c>
      <c r="X159" s="35">
        <f>IF(AG159="0",I159,0)</f>
        <v>0</v>
      </c>
      <c r="Y159" s="28"/>
      <c r="Z159" s="19">
        <f>IF(AD159=0,I159,0)</f>
        <v>0</v>
      </c>
      <c r="AA159" s="19">
        <f>IF(AD159=15,I159,0)</f>
        <v>0</v>
      </c>
      <c r="AB159" s="19">
        <f>IF(AD159=21,I159,0)</f>
        <v>0</v>
      </c>
      <c r="AD159" s="35">
        <v>21</v>
      </c>
      <c r="AE159" s="35">
        <f>F159*0</f>
        <v>0</v>
      </c>
      <c r="AF159" s="35">
        <f>F159*(1-0)</f>
        <v>0</v>
      </c>
      <c r="AG159" s="31" t="s">
        <v>13</v>
      </c>
      <c r="AM159" s="35">
        <f>E159*AE159</f>
        <v>0</v>
      </c>
      <c r="AN159" s="35">
        <f>E159*AF159</f>
        <v>0</v>
      </c>
      <c r="AO159" s="36" t="s">
        <v>569</v>
      </c>
      <c r="AP159" s="36" t="s">
        <v>580</v>
      </c>
      <c r="AQ159" s="28" t="s">
        <v>584</v>
      </c>
      <c r="AS159" s="35">
        <f>AM159+AN159</f>
        <v>0</v>
      </c>
      <c r="AT159" s="35">
        <f>F159/(100-AU159)*100</f>
        <v>0</v>
      </c>
      <c r="AU159" s="35">
        <v>0</v>
      </c>
      <c r="AV159" s="35">
        <f>K159</f>
        <v>3.4320000000000003E-2</v>
      </c>
    </row>
    <row r="160" spans="1:48" x14ac:dyDescent="0.2">
      <c r="C160" s="15" t="s">
        <v>7</v>
      </c>
      <c r="E160" s="20">
        <v>1</v>
      </c>
    </row>
    <row r="161" spans="1:48" x14ac:dyDescent="0.2">
      <c r="A161" s="4" t="s">
        <v>56</v>
      </c>
      <c r="B161" s="4" t="s">
        <v>183</v>
      </c>
      <c r="C161" s="4" t="s">
        <v>387</v>
      </c>
      <c r="D161" s="4" t="s">
        <v>527</v>
      </c>
      <c r="E161" s="19">
        <v>1</v>
      </c>
      <c r="F161" s="19">
        <v>0</v>
      </c>
      <c r="G161" s="19">
        <f>E161*AE161</f>
        <v>0</v>
      </c>
      <c r="H161" s="19">
        <f>I161-G161</f>
        <v>0</v>
      </c>
      <c r="I161" s="19">
        <f>E161*F161</f>
        <v>0</v>
      </c>
      <c r="J161" s="19">
        <v>0.1</v>
      </c>
      <c r="K161" s="19">
        <f>E161*J161</f>
        <v>0.1</v>
      </c>
      <c r="L161" s="31" t="s">
        <v>548</v>
      </c>
      <c r="P161" s="35">
        <f>IF(AG161="5",I161,0)</f>
        <v>0</v>
      </c>
      <c r="R161" s="35">
        <f>IF(AG161="1",G161,0)</f>
        <v>0</v>
      </c>
      <c r="S161" s="35">
        <f>IF(AG161="1",H161,0)</f>
        <v>0</v>
      </c>
      <c r="T161" s="35">
        <f>IF(AG161="7",G161,0)</f>
        <v>0</v>
      </c>
      <c r="U161" s="35">
        <f>IF(AG161="7",H161,0)</f>
        <v>0</v>
      </c>
      <c r="V161" s="35">
        <f>IF(AG161="2",G161,0)</f>
        <v>0</v>
      </c>
      <c r="W161" s="35">
        <f>IF(AG161="2",H161,0)</f>
        <v>0</v>
      </c>
      <c r="X161" s="35">
        <f>IF(AG161="0",I161,0)</f>
        <v>0</v>
      </c>
      <c r="Y161" s="28"/>
      <c r="Z161" s="19">
        <f>IF(AD161=0,I161,0)</f>
        <v>0</v>
      </c>
      <c r="AA161" s="19">
        <f>IF(AD161=15,I161,0)</f>
        <v>0</v>
      </c>
      <c r="AB161" s="19">
        <f>IF(AD161=21,I161,0)</f>
        <v>0</v>
      </c>
      <c r="AD161" s="35">
        <v>21</v>
      </c>
      <c r="AE161" s="35">
        <f>F161*0</f>
        <v>0</v>
      </c>
      <c r="AF161" s="35">
        <f>F161*(1-0)</f>
        <v>0</v>
      </c>
      <c r="AG161" s="31" t="s">
        <v>13</v>
      </c>
      <c r="AM161" s="35">
        <f>E161*AE161</f>
        <v>0</v>
      </c>
      <c r="AN161" s="35">
        <f>E161*AF161</f>
        <v>0</v>
      </c>
      <c r="AO161" s="36" t="s">
        <v>569</v>
      </c>
      <c r="AP161" s="36" t="s">
        <v>580</v>
      </c>
      <c r="AQ161" s="28" t="s">
        <v>584</v>
      </c>
      <c r="AS161" s="35">
        <f>AM161+AN161</f>
        <v>0</v>
      </c>
      <c r="AT161" s="35">
        <f>F161/(100-AU161)*100</f>
        <v>0</v>
      </c>
      <c r="AU161" s="35">
        <v>0</v>
      </c>
      <c r="AV161" s="35">
        <f>K161</f>
        <v>0.1</v>
      </c>
    </row>
    <row r="162" spans="1:48" x14ac:dyDescent="0.2">
      <c r="C162" s="15" t="s">
        <v>7</v>
      </c>
      <c r="E162" s="20">
        <v>1</v>
      </c>
    </row>
    <row r="163" spans="1:48" x14ac:dyDescent="0.2">
      <c r="A163" s="5"/>
      <c r="B163" s="13" t="s">
        <v>89</v>
      </c>
      <c r="C163" s="13" t="s">
        <v>388</v>
      </c>
      <c r="D163" s="5" t="s">
        <v>6</v>
      </c>
      <c r="E163" s="5" t="s">
        <v>6</v>
      </c>
      <c r="F163" s="5" t="s">
        <v>6</v>
      </c>
      <c r="G163" s="38">
        <f>SUM(G164:G173)</f>
        <v>0</v>
      </c>
      <c r="H163" s="38">
        <f>SUM(H164:H173)</f>
        <v>0</v>
      </c>
      <c r="I163" s="38">
        <f>G163+H163</f>
        <v>0</v>
      </c>
      <c r="J163" s="28"/>
      <c r="K163" s="38">
        <f>SUM(K164:K173)</f>
        <v>0.18408000000000002</v>
      </c>
      <c r="L163" s="28"/>
      <c r="Y163" s="28"/>
      <c r="AI163" s="38">
        <f>SUM(Z164:Z173)</f>
        <v>0</v>
      </c>
      <c r="AJ163" s="38">
        <f>SUM(AA164:AA173)</f>
        <v>0</v>
      </c>
      <c r="AK163" s="38">
        <f>SUM(AB164:AB173)</f>
        <v>0</v>
      </c>
    </row>
    <row r="164" spans="1:48" x14ac:dyDescent="0.2">
      <c r="A164" s="4" t="s">
        <v>57</v>
      </c>
      <c r="B164" s="4" t="s">
        <v>184</v>
      </c>
      <c r="C164" s="4" t="s">
        <v>389</v>
      </c>
      <c r="D164" s="4" t="s">
        <v>524</v>
      </c>
      <c r="E164" s="19">
        <v>4</v>
      </c>
      <c r="F164" s="19">
        <v>0</v>
      </c>
      <c r="G164" s="19">
        <f>E164*AE164</f>
        <v>0</v>
      </c>
      <c r="H164" s="19">
        <f>I164-G164</f>
        <v>0</v>
      </c>
      <c r="I164" s="19">
        <f>E164*F164</f>
        <v>0</v>
      </c>
      <c r="J164" s="19">
        <v>2.0000000000000002E-5</v>
      </c>
      <c r="K164" s="19">
        <f>E164*J164</f>
        <v>8.0000000000000007E-5</v>
      </c>
      <c r="L164" s="31" t="s">
        <v>548</v>
      </c>
      <c r="P164" s="35">
        <f>IF(AG164="5",I164,0)</f>
        <v>0</v>
      </c>
      <c r="R164" s="35">
        <f>IF(AG164="1",G164,0)</f>
        <v>0</v>
      </c>
      <c r="S164" s="35">
        <f>IF(AG164="1",H164,0)</f>
        <v>0</v>
      </c>
      <c r="T164" s="35">
        <f>IF(AG164="7",G164,0)</f>
        <v>0</v>
      </c>
      <c r="U164" s="35">
        <f>IF(AG164="7",H164,0)</f>
        <v>0</v>
      </c>
      <c r="V164" s="35">
        <f>IF(AG164="2",G164,0)</f>
        <v>0</v>
      </c>
      <c r="W164" s="35">
        <f>IF(AG164="2",H164,0)</f>
        <v>0</v>
      </c>
      <c r="X164" s="35">
        <f>IF(AG164="0",I164,0)</f>
        <v>0</v>
      </c>
      <c r="Y164" s="28"/>
      <c r="Z164" s="19">
        <f>IF(AD164=0,I164,0)</f>
        <v>0</v>
      </c>
      <c r="AA164" s="19">
        <f>IF(AD164=15,I164,0)</f>
        <v>0</v>
      </c>
      <c r="AB164" s="19">
        <f>IF(AD164=21,I164,0)</f>
        <v>0</v>
      </c>
      <c r="AD164" s="35">
        <v>21</v>
      </c>
      <c r="AE164" s="35">
        <f>F164*0.00469750889679715</f>
        <v>0</v>
      </c>
      <c r="AF164" s="35">
        <f>F164*(1-0.00469750889679715)</f>
        <v>0</v>
      </c>
      <c r="AG164" s="31" t="s">
        <v>7</v>
      </c>
      <c r="AM164" s="35">
        <f>E164*AE164</f>
        <v>0</v>
      </c>
      <c r="AN164" s="35">
        <f>E164*AF164</f>
        <v>0</v>
      </c>
      <c r="AO164" s="36" t="s">
        <v>570</v>
      </c>
      <c r="AP164" s="36" t="s">
        <v>581</v>
      </c>
      <c r="AQ164" s="28" t="s">
        <v>584</v>
      </c>
      <c r="AS164" s="35">
        <f>AM164+AN164</f>
        <v>0</v>
      </c>
      <c r="AT164" s="35">
        <f>F164/(100-AU164)*100</f>
        <v>0</v>
      </c>
      <c r="AU164" s="35">
        <v>0</v>
      </c>
      <c r="AV164" s="35">
        <f>K164</f>
        <v>8.0000000000000007E-5</v>
      </c>
    </row>
    <row r="165" spans="1:48" x14ac:dyDescent="0.2">
      <c r="C165" s="15" t="s">
        <v>10</v>
      </c>
      <c r="E165" s="20">
        <v>4</v>
      </c>
    </row>
    <row r="166" spans="1:48" ht="25.7" customHeight="1" x14ac:dyDescent="0.2">
      <c r="B166" s="12" t="s">
        <v>133</v>
      </c>
      <c r="C166" s="112" t="s">
        <v>390</v>
      </c>
      <c r="D166" s="113"/>
      <c r="E166" s="113"/>
      <c r="F166" s="113"/>
      <c r="G166" s="113"/>
      <c r="H166" s="113"/>
      <c r="I166" s="113"/>
      <c r="J166" s="113"/>
      <c r="K166" s="113"/>
      <c r="L166" s="113"/>
    </row>
    <row r="167" spans="1:48" x14ac:dyDescent="0.2">
      <c r="A167" s="6" t="s">
        <v>58</v>
      </c>
      <c r="B167" s="6" t="s">
        <v>185</v>
      </c>
      <c r="C167" s="6" t="s">
        <v>391</v>
      </c>
      <c r="D167" s="6" t="s">
        <v>527</v>
      </c>
      <c r="E167" s="21">
        <v>4</v>
      </c>
      <c r="F167" s="21">
        <v>0</v>
      </c>
      <c r="G167" s="21">
        <f>E167*AE167</f>
        <v>0</v>
      </c>
      <c r="H167" s="21">
        <f>I167-G167</f>
        <v>0</v>
      </c>
      <c r="I167" s="21">
        <f>E167*F167</f>
        <v>0</v>
      </c>
      <c r="J167" s="21">
        <v>0.01</v>
      </c>
      <c r="K167" s="21">
        <f>E167*J167</f>
        <v>0.04</v>
      </c>
      <c r="L167" s="32" t="s">
        <v>548</v>
      </c>
      <c r="P167" s="35">
        <f>IF(AG167="5",I167,0)</f>
        <v>0</v>
      </c>
      <c r="R167" s="35">
        <f>IF(AG167="1",G167,0)</f>
        <v>0</v>
      </c>
      <c r="S167" s="35">
        <f>IF(AG167="1",H167,0)</f>
        <v>0</v>
      </c>
      <c r="T167" s="35">
        <f>IF(AG167="7",G167,0)</f>
        <v>0</v>
      </c>
      <c r="U167" s="35">
        <f>IF(AG167="7",H167,0)</f>
        <v>0</v>
      </c>
      <c r="V167" s="35">
        <f>IF(AG167="2",G167,0)</f>
        <v>0</v>
      </c>
      <c r="W167" s="35">
        <f>IF(AG167="2",H167,0)</f>
        <v>0</v>
      </c>
      <c r="X167" s="35">
        <f>IF(AG167="0",I167,0)</f>
        <v>0</v>
      </c>
      <c r="Y167" s="28"/>
      <c r="Z167" s="21">
        <f>IF(AD167=0,I167,0)</f>
        <v>0</v>
      </c>
      <c r="AA167" s="21">
        <f>IF(AD167=15,I167,0)</f>
        <v>0</v>
      </c>
      <c r="AB167" s="21">
        <f>IF(AD167=21,I167,0)</f>
        <v>0</v>
      </c>
      <c r="AD167" s="35">
        <v>21</v>
      </c>
      <c r="AE167" s="35">
        <f>F167*1</f>
        <v>0</v>
      </c>
      <c r="AF167" s="35">
        <f>F167*(1-1)</f>
        <v>0</v>
      </c>
      <c r="AG167" s="32" t="s">
        <v>7</v>
      </c>
      <c r="AM167" s="35">
        <f>E167*AE167</f>
        <v>0</v>
      </c>
      <c r="AN167" s="35">
        <f>E167*AF167</f>
        <v>0</v>
      </c>
      <c r="AO167" s="36" t="s">
        <v>570</v>
      </c>
      <c r="AP167" s="36" t="s">
        <v>581</v>
      </c>
      <c r="AQ167" s="28" t="s">
        <v>584</v>
      </c>
      <c r="AS167" s="35">
        <f>AM167+AN167</f>
        <v>0</v>
      </c>
      <c r="AT167" s="35">
        <f>F167/(100-AU167)*100</f>
        <v>0</v>
      </c>
      <c r="AU167" s="35">
        <v>0</v>
      </c>
      <c r="AV167" s="35">
        <f>K167</f>
        <v>0.04</v>
      </c>
    </row>
    <row r="168" spans="1:48" x14ac:dyDescent="0.2">
      <c r="C168" s="15" t="s">
        <v>10</v>
      </c>
      <c r="E168" s="20">
        <v>4</v>
      </c>
    </row>
    <row r="169" spans="1:48" x14ac:dyDescent="0.2">
      <c r="B169" s="12" t="s">
        <v>133</v>
      </c>
      <c r="C169" s="112" t="s">
        <v>392</v>
      </c>
      <c r="D169" s="113"/>
      <c r="E169" s="113"/>
      <c r="F169" s="113"/>
      <c r="G169" s="113"/>
      <c r="H169" s="113"/>
      <c r="I169" s="113"/>
      <c r="J169" s="113"/>
      <c r="K169" s="113"/>
      <c r="L169" s="113"/>
    </row>
    <row r="170" spans="1:48" x14ac:dyDescent="0.2">
      <c r="A170" s="6" t="s">
        <v>59</v>
      </c>
      <c r="B170" s="6" t="s">
        <v>186</v>
      </c>
      <c r="C170" s="6" t="s">
        <v>393</v>
      </c>
      <c r="D170" s="6" t="s">
        <v>524</v>
      </c>
      <c r="E170" s="21">
        <v>6</v>
      </c>
      <c r="F170" s="21">
        <v>0</v>
      </c>
      <c r="G170" s="21">
        <f>E170*AE170</f>
        <v>0</v>
      </c>
      <c r="H170" s="21">
        <f>I170-G170</f>
        <v>0</v>
      </c>
      <c r="I170" s="21">
        <f>E170*F170</f>
        <v>0</v>
      </c>
      <c r="J170" s="21">
        <v>2.4E-2</v>
      </c>
      <c r="K170" s="21">
        <f>E170*J170</f>
        <v>0.14400000000000002</v>
      </c>
      <c r="L170" s="32" t="s">
        <v>548</v>
      </c>
      <c r="P170" s="35">
        <f>IF(AG170="5",I170,0)</f>
        <v>0</v>
      </c>
      <c r="R170" s="35">
        <f>IF(AG170="1",G170,0)</f>
        <v>0</v>
      </c>
      <c r="S170" s="35">
        <f>IF(AG170="1",H170,0)</f>
        <v>0</v>
      </c>
      <c r="T170" s="35">
        <f>IF(AG170="7",G170,0)</f>
        <v>0</v>
      </c>
      <c r="U170" s="35">
        <f>IF(AG170="7",H170,0)</f>
        <v>0</v>
      </c>
      <c r="V170" s="35">
        <f>IF(AG170="2",G170,0)</f>
        <v>0</v>
      </c>
      <c r="W170" s="35">
        <f>IF(AG170="2",H170,0)</f>
        <v>0</v>
      </c>
      <c r="X170" s="35">
        <f>IF(AG170="0",I170,0)</f>
        <v>0</v>
      </c>
      <c r="Y170" s="28"/>
      <c r="Z170" s="21">
        <f>IF(AD170=0,I170,0)</f>
        <v>0</v>
      </c>
      <c r="AA170" s="21">
        <f>IF(AD170=15,I170,0)</f>
        <v>0</v>
      </c>
      <c r="AB170" s="21">
        <f>IF(AD170=21,I170,0)</f>
        <v>0</v>
      </c>
      <c r="AD170" s="35">
        <v>21</v>
      </c>
      <c r="AE170" s="35">
        <f>F170*1</f>
        <v>0</v>
      </c>
      <c r="AF170" s="35">
        <f>F170*(1-1)</f>
        <v>0</v>
      </c>
      <c r="AG170" s="32" t="s">
        <v>7</v>
      </c>
      <c r="AM170" s="35">
        <f>E170*AE170</f>
        <v>0</v>
      </c>
      <c r="AN170" s="35">
        <f>E170*AF170</f>
        <v>0</v>
      </c>
      <c r="AO170" s="36" t="s">
        <v>570</v>
      </c>
      <c r="AP170" s="36" t="s">
        <v>581</v>
      </c>
      <c r="AQ170" s="28" t="s">
        <v>584</v>
      </c>
      <c r="AS170" s="35">
        <f>AM170+AN170</f>
        <v>0</v>
      </c>
      <c r="AT170" s="35">
        <f>F170/(100-AU170)*100</f>
        <v>0</v>
      </c>
      <c r="AU170" s="35">
        <v>0</v>
      </c>
      <c r="AV170" s="35">
        <f>K170</f>
        <v>0.14400000000000002</v>
      </c>
    </row>
    <row r="171" spans="1:48" x14ac:dyDescent="0.2">
      <c r="C171" s="15" t="s">
        <v>12</v>
      </c>
      <c r="E171" s="20">
        <v>6</v>
      </c>
    </row>
    <row r="172" spans="1:48" ht="25.7" customHeight="1" x14ac:dyDescent="0.2">
      <c r="B172" s="12" t="s">
        <v>133</v>
      </c>
      <c r="C172" s="112" t="s">
        <v>394</v>
      </c>
      <c r="D172" s="113"/>
      <c r="E172" s="113"/>
      <c r="F172" s="113"/>
      <c r="G172" s="113"/>
      <c r="H172" s="113"/>
      <c r="I172" s="113"/>
      <c r="J172" s="113"/>
      <c r="K172" s="113"/>
      <c r="L172" s="113"/>
    </row>
    <row r="173" spans="1:48" x14ac:dyDescent="0.2">
      <c r="A173" s="4" t="s">
        <v>60</v>
      </c>
      <c r="B173" s="4" t="s">
        <v>187</v>
      </c>
      <c r="C173" s="4" t="s">
        <v>395</v>
      </c>
      <c r="D173" s="4" t="s">
        <v>527</v>
      </c>
      <c r="E173" s="19">
        <v>2</v>
      </c>
      <c r="F173" s="19">
        <v>0</v>
      </c>
      <c r="G173" s="19">
        <f>E173*AE173</f>
        <v>0</v>
      </c>
      <c r="H173" s="19">
        <f>I173-G173</f>
        <v>0</v>
      </c>
      <c r="I173" s="19">
        <f>E173*F173</f>
        <v>0</v>
      </c>
      <c r="J173" s="19">
        <v>0</v>
      </c>
      <c r="K173" s="19">
        <f>E173*J173</f>
        <v>0</v>
      </c>
      <c r="L173" s="31"/>
      <c r="P173" s="35">
        <f>IF(AG173="5",I173,0)</f>
        <v>0</v>
      </c>
      <c r="R173" s="35">
        <f>IF(AG173="1",G173,0)</f>
        <v>0</v>
      </c>
      <c r="S173" s="35">
        <f>IF(AG173="1",H173,0)</f>
        <v>0</v>
      </c>
      <c r="T173" s="35">
        <f>IF(AG173="7",G173,0)</f>
        <v>0</v>
      </c>
      <c r="U173" s="35">
        <f>IF(AG173="7",H173,0)</f>
        <v>0</v>
      </c>
      <c r="V173" s="35">
        <f>IF(AG173="2",G173,0)</f>
        <v>0</v>
      </c>
      <c r="W173" s="35">
        <f>IF(AG173="2",H173,0)</f>
        <v>0</v>
      </c>
      <c r="X173" s="35">
        <f>IF(AG173="0",I173,0)</f>
        <v>0</v>
      </c>
      <c r="Y173" s="28"/>
      <c r="Z173" s="19">
        <f>IF(AD173=0,I173,0)</f>
        <v>0</v>
      </c>
      <c r="AA173" s="19">
        <f>IF(AD173=15,I173,0)</f>
        <v>0</v>
      </c>
      <c r="AB173" s="19">
        <f>IF(AD173=21,I173,0)</f>
        <v>0</v>
      </c>
      <c r="AD173" s="35">
        <v>21</v>
      </c>
      <c r="AE173" s="35">
        <f>F173*1</f>
        <v>0</v>
      </c>
      <c r="AF173" s="35">
        <f>F173*(1-1)</f>
        <v>0</v>
      </c>
      <c r="AG173" s="31" t="s">
        <v>7</v>
      </c>
      <c r="AM173" s="35">
        <f>E173*AE173</f>
        <v>0</v>
      </c>
      <c r="AN173" s="35">
        <f>E173*AF173</f>
        <v>0</v>
      </c>
      <c r="AO173" s="36" t="s">
        <v>570</v>
      </c>
      <c r="AP173" s="36" t="s">
        <v>581</v>
      </c>
      <c r="AQ173" s="28" t="s">
        <v>584</v>
      </c>
      <c r="AS173" s="35">
        <f>AM173+AN173</f>
        <v>0</v>
      </c>
      <c r="AT173" s="35">
        <f>F173/(100-AU173)*100</f>
        <v>0</v>
      </c>
      <c r="AU173" s="35">
        <v>0</v>
      </c>
      <c r="AV173" s="35">
        <f>K173</f>
        <v>0</v>
      </c>
    </row>
    <row r="174" spans="1:48" x14ac:dyDescent="0.2">
      <c r="C174" s="15" t="s">
        <v>8</v>
      </c>
      <c r="E174" s="20">
        <v>2</v>
      </c>
    </row>
    <row r="175" spans="1:48" x14ac:dyDescent="0.2">
      <c r="A175" s="5"/>
      <c r="B175" s="13" t="s">
        <v>91</v>
      </c>
      <c r="C175" s="13" t="s">
        <v>396</v>
      </c>
      <c r="D175" s="5" t="s">
        <v>6</v>
      </c>
      <c r="E175" s="5" t="s">
        <v>6</v>
      </c>
      <c r="F175" s="5" t="s">
        <v>6</v>
      </c>
      <c r="G175" s="38">
        <f>SUM(G176:G191)</f>
        <v>0</v>
      </c>
      <c r="H175" s="38">
        <f>SUM(H176:H191)</f>
        <v>0</v>
      </c>
      <c r="I175" s="38">
        <f>G175+H175</f>
        <v>0</v>
      </c>
      <c r="J175" s="28"/>
      <c r="K175" s="38">
        <f>SUM(K176:K191)</f>
        <v>0.31774639399999999</v>
      </c>
      <c r="L175" s="28"/>
      <c r="Y175" s="28"/>
      <c r="AI175" s="38">
        <f>SUM(Z176:Z191)</f>
        <v>0</v>
      </c>
      <c r="AJ175" s="38">
        <f>SUM(AA176:AA191)</f>
        <v>0</v>
      </c>
      <c r="AK175" s="38">
        <f>SUM(AB176:AB191)</f>
        <v>0</v>
      </c>
    </row>
    <row r="176" spans="1:48" x14ac:dyDescent="0.2">
      <c r="A176" s="4" t="s">
        <v>61</v>
      </c>
      <c r="B176" s="4" t="s">
        <v>188</v>
      </c>
      <c r="C176" s="4" t="s">
        <v>397</v>
      </c>
      <c r="D176" s="4" t="s">
        <v>524</v>
      </c>
      <c r="E176" s="19">
        <v>6</v>
      </c>
      <c r="F176" s="19">
        <v>0</v>
      </c>
      <c r="G176" s="19">
        <f>E176*AE176</f>
        <v>0</v>
      </c>
      <c r="H176" s="19">
        <f>I176-G176</f>
        <v>0</v>
      </c>
      <c r="I176" s="19">
        <f>E176*F176</f>
        <v>0</v>
      </c>
      <c r="J176" s="19">
        <v>0</v>
      </c>
      <c r="K176" s="19">
        <f>E176*J176</f>
        <v>0</v>
      </c>
      <c r="L176" s="31" t="s">
        <v>548</v>
      </c>
      <c r="P176" s="35">
        <f>IF(AG176="5",I176,0)</f>
        <v>0</v>
      </c>
      <c r="R176" s="35">
        <f>IF(AG176="1",G176,0)</f>
        <v>0</v>
      </c>
      <c r="S176" s="35">
        <f>IF(AG176="1",H176,0)</f>
        <v>0</v>
      </c>
      <c r="T176" s="35">
        <f>IF(AG176="7",G176,0)</f>
        <v>0</v>
      </c>
      <c r="U176" s="35">
        <f>IF(AG176="7",H176,0)</f>
        <v>0</v>
      </c>
      <c r="V176" s="35">
        <f>IF(AG176="2",G176,0)</f>
        <v>0</v>
      </c>
      <c r="W176" s="35">
        <f>IF(AG176="2",H176,0)</f>
        <v>0</v>
      </c>
      <c r="X176" s="35">
        <f>IF(AG176="0",I176,0)</f>
        <v>0</v>
      </c>
      <c r="Y176" s="28"/>
      <c r="Z176" s="19">
        <f>IF(AD176=0,I176,0)</f>
        <v>0</v>
      </c>
      <c r="AA176" s="19">
        <f>IF(AD176=15,I176,0)</f>
        <v>0</v>
      </c>
      <c r="AB176" s="19">
        <f>IF(AD176=21,I176,0)</f>
        <v>0</v>
      </c>
      <c r="AD176" s="35">
        <v>21</v>
      </c>
      <c r="AE176" s="35">
        <f>F176*0.0000881057268722467</f>
        <v>0</v>
      </c>
      <c r="AF176" s="35">
        <f>F176*(1-0.0000881057268722467)</f>
        <v>0</v>
      </c>
      <c r="AG176" s="31" t="s">
        <v>7</v>
      </c>
      <c r="AM176" s="35">
        <f>E176*AE176</f>
        <v>0</v>
      </c>
      <c r="AN176" s="35">
        <f>E176*AF176</f>
        <v>0</v>
      </c>
      <c r="AO176" s="36" t="s">
        <v>571</v>
      </c>
      <c r="AP176" s="36" t="s">
        <v>581</v>
      </c>
      <c r="AQ176" s="28" t="s">
        <v>584</v>
      </c>
      <c r="AS176" s="35">
        <f>AM176+AN176</f>
        <v>0</v>
      </c>
      <c r="AT176" s="35">
        <f>F176/(100-AU176)*100</f>
        <v>0</v>
      </c>
      <c r="AU176" s="35">
        <v>0</v>
      </c>
      <c r="AV176" s="35">
        <f>K176</f>
        <v>0</v>
      </c>
    </row>
    <row r="177" spans="1:48" x14ac:dyDescent="0.2">
      <c r="C177" s="15" t="s">
        <v>12</v>
      </c>
      <c r="E177" s="20">
        <v>6</v>
      </c>
    </row>
    <row r="178" spans="1:48" ht="25.7" customHeight="1" x14ac:dyDescent="0.2">
      <c r="B178" s="12" t="s">
        <v>133</v>
      </c>
      <c r="C178" s="112" t="s">
        <v>398</v>
      </c>
      <c r="D178" s="113"/>
      <c r="E178" s="113"/>
      <c r="F178" s="113"/>
      <c r="G178" s="113"/>
      <c r="H178" s="113"/>
      <c r="I178" s="113"/>
      <c r="J178" s="113"/>
      <c r="K178" s="113"/>
      <c r="L178" s="113"/>
    </row>
    <row r="179" spans="1:48" x14ac:dyDescent="0.2">
      <c r="A179" s="6" t="s">
        <v>62</v>
      </c>
      <c r="B179" s="6" t="s">
        <v>189</v>
      </c>
      <c r="C179" s="6" t="s">
        <v>399</v>
      </c>
      <c r="D179" s="6" t="s">
        <v>524</v>
      </c>
      <c r="E179" s="21">
        <v>6.06</v>
      </c>
      <c r="F179" s="21">
        <v>0</v>
      </c>
      <c r="G179" s="21">
        <f>E179*AE179</f>
        <v>0</v>
      </c>
      <c r="H179" s="21">
        <f>I179-G179</f>
        <v>0</v>
      </c>
      <c r="I179" s="21">
        <f>E179*F179</f>
        <v>0</v>
      </c>
      <c r="J179" s="21">
        <v>2.8000000000000001E-2</v>
      </c>
      <c r="K179" s="21">
        <f>E179*J179</f>
        <v>0.16968</v>
      </c>
      <c r="L179" s="32" t="s">
        <v>548</v>
      </c>
      <c r="P179" s="35">
        <f>IF(AG179="5",I179,0)</f>
        <v>0</v>
      </c>
      <c r="R179" s="35">
        <f>IF(AG179="1",G179,0)</f>
        <v>0</v>
      </c>
      <c r="S179" s="35">
        <f>IF(AG179="1",H179,0)</f>
        <v>0</v>
      </c>
      <c r="T179" s="35">
        <f>IF(AG179="7",G179,0)</f>
        <v>0</v>
      </c>
      <c r="U179" s="35">
        <f>IF(AG179="7",H179,0)</f>
        <v>0</v>
      </c>
      <c r="V179" s="35">
        <f>IF(AG179="2",G179,0)</f>
        <v>0</v>
      </c>
      <c r="W179" s="35">
        <f>IF(AG179="2",H179,0)</f>
        <v>0</v>
      </c>
      <c r="X179" s="35">
        <f>IF(AG179="0",I179,0)</f>
        <v>0</v>
      </c>
      <c r="Y179" s="28"/>
      <c r="Z179" s="21">
        <f>IF(AD179=0,I179,0)</f>
        <v>0</v>
      </c>
      <c r="AA179" s="21">
        <f>IF(AD179=15,I179,0)</f>
        <v>0</v>
      </c>
      <c r="AB179" s="21">
        <f>IF(AD179=21,I179,0)</f>
        <v>0</v>
      </c>
      <c r="AD179" s="35">
        <v>21</v>
      </c>
      <c r="AE179" s="35">
        <f>F179*1</f>
        <v>0</v>
      </c>
      <c r="AF179" s="35">
        <f>F179*(1-1)</f>
        <v>0</v>
      </c>
      <c r="AG179" s="32" t="s">
        <v>7</v>
      </c>
      <c r="AM179" s="35">
        <f>E179*AE179</f>
        <v>0</v>
      </c>
      <c r="AN179" s="35">
        <f>E179*AF179</f>
        <v>0</v>
      </c>
      <c r="AO179" s="36" t="s">
        <v>571</v>
      </c>
      <c r="AP179" s="36" t="s">
        <v>581</v>
      </c>
      <c r="AQ179" s="28" t="s">
        <v>584</v>
      </c>
      <c r="AS179" s="35">
        <f>AM179+AN179</f>
        <v>0</v>
      </c>
      <c r="AT179" s="35">
        <f>F179/(100-AU179)*100</f>
        <v>0</v>
      </c>
      <c r="AU179" s="35">
        <v>0</v>
      </c>
      <c r="AV179" s="35">
        <f>K179</f>
        <v>0.16968</v>
      </c>
    </row>
    <row r="180" spans="1:48" x14ac:dyDescent="0.2">
      <c r="C180" s="15" t="s">
        <v>12</v>
      </c>
      <c r="E180" s="20">
        <v>6</v>
      </c>
    </row>
    <row r="181" spans="1:48" x14ac:dyDescent="0.2">
      <c r="C181" s="15" t="s">
        <v>366</v>
      </c>
      <c r="E181" s="20">
        <v>0.06</v>
      </c>
    </row>
    <row r="182" spans="1:48" x14ac:dyDescent="0.2">
      <c r="A182" s="4" t="s">
        <v>63</v>
      </c>
      <c r="B182" s="4" t="s">
        <v>190</v>
      </c>
      <c r="C182" s="4" t="s">
        <v>400</v>
      </c>
      <c r="D182" s="4" t="s">
        <v>527</v>
      </c>
      <c r="E182" s="19">
        <v>4</v>
      </c>
      <c r="F182" s="19">
        <v>0</v>
      </c>
      <c r="G182" s="19">
        <f>E182*AE182</f>
        <v>0</v>
      </c>
      <c r="H182" s="19">
        <f>I182-G182</f>
        <v>0</v>
      </c>
      <c r="I182" s="19">
        <f>E182*F182</f>
        <v>0</v>
      </c>
      <c r="J182" s="19">
        <v>0</v>
      </c>
      <c r="K182" s="19">
        <f>E182*J182</f>
        <v>0</v>
      </c>
      <c r="L182" s="31" t="s">
        <v>548</v>
      </c>
      <c r="P182" s="35">
        <f>IF(AG182="5",I182,0)</f>
        <v>0</v>
      </c>
      <c r="R182" s="35">
        <f>IF(AG182="1",G182,0)</f>
        <v>0</v>
      </c>
      <c r="S182" s="35">
        <f>IF(AG182="1",H182,0)</f>
        <v>0</v>
      </c>
      <c r="T182" s="35">
        <f>IF(AG182="7",G182,0)</f>
        <v>0</v>
      </c>
      <c r="U182" s="35">
        <f>IF(AG182="7",H182,0)</f>
        <v>0</v>
      </c>
      <c r="V182" s="35">
        <f>IF(AG182="2",G182,0)</f>
        <v>0</v>
      </c>
      <c r="W182" s="35">
        <f>IF(AG182="2",H182,0)</f>
        <v>0</v>
      </c>
      <c r="X182" s="35">
        <f>IF(AG182="0",I182,0)</f>
        <v>0</v>
      </c>
      <c r="Y182" s="28"/>
      <c r="Z182" s="19">
        <f>IF(AD182=0,I182,0)</f>
        <v>0</v>
      </c>
      <c r="AA182" s="19">
        <f>IF(AD182=15,I182,0)</f>
        <v>0</v>
      </c>
      <c r="AB182" s="19">
        <f>IF(AD182=21,I182,0)</f>
        <v>0</v>
      </c>
      <c r="AD182" s="35">
        <v>21</v>
      </c>
      <c r="AE182" s="35">
        <f>F182*0.000032</f>
        <v>0</v>
      </c>
      <c r="AF182" s="35">
        <f>F182*(1-0.000032)</f>
        <v>0</v>
      </c>
      <c r="AG182" s="31" t="s">
        <v>7</v>
      </c>
      <c r="AM182" s="35">
        <f>E182*AE182</f>
        <v>0</v>
      </c>
      <c r="AN182" s="35">
        <f>E182*AF182</f>
        <v>0</v>
      </c>
      <c r="AO182" s="36" t="s">
        <v>571</v>
      </c>
      <c r="AP182" s="36" t="s">
        <v>581</v>
      </c>
      <c r="AQ182" s="28" t="s">
        <v>584</v>
      </c>
      <c r="AS182" s="35">
        <f>AM182+AN182</f>
        <v>0</v>
      </c>
      <c r="AT182" s="35">
        <f>F182/(100-AU182)*100</f>
        <v>0</v>
      </c>
      <c r="AU182" s="35">
        <v>0</v>
      </c>
      <c r="AV182" s="35">
        <f>K182</f>
        <v>0</v>
      </c>
    </row>
    <row r="183" spans="1:48" x14ac:dyDescent="0.2">
      <c r="C183" s="15" t="s">
        <v>10</v>
      </c>
      <c r="E183" s="20">
        <v>4</v>
      </c>
    </row>
    <row r="184" spans="1:48" ht="25.7" customHeight="1" x14ac:dyDescent="0.2">
      <c r="B184" s="12" t="s">
        <v>133</v>
      </c>
      <c r="C184" s="112" t="s">
        <v>401</v>
      </c>
      <c r="D184" s="113"/>
      <c r="E184" s="113"/>
      <c r="F184" s="113"/>
      <c r="G184" s="113"/>
      <c r="H184" s="113"/>
      <c r="I184" s="113"/>
      <c r="J184" s="113"/>
      <c r="K184" s="113"/>
      <c r="L184" s="113"/>
    </row>
    <row r="185" spans="1:48" x14ac:dyDescent="0.2">
      <c r="A185" s="6" t="s">
        <v>64</v>
      </c>
      <c r="B185" s="6" t="s">
        <v>191</v>
      </c>
      <c r="C185" s="6" t="s">
        <v>402</v>
      </c>
      <c r="D185" s="6" t="s">
        <v>527</v>
      </c>
      <c r="E185" s="21">
        <v>3.9999899999999999</v>
      </c>
      <c r="F185" s="21">
        <v>0</v>
      </c>
      <c r="G185" s="21">
        <f>E185*AE185</f>
        <v>0</v>
      </c>
      <c r="H185" s="21">
        <f>I185-G185</f>
        <v>0</v>
      </c>
      <c r="I185" s="21">
        <f>E185*F185</f>
        <v>0</v>
      </c>
      <c r="J185" s="21">
        <v>1.4E-2</v>
      </c>
      <c r="K185" s="21">
        <f>E185*J185</f>
        <v>5.5999859999999999E-2</v>
      </c>
      <c r="L185" s="32" t="s">
        <v>548</v>
      </c>
      <c r="P185" s="35">
        <f>IF(AG185="5",I185,0)</f>
        <v>0</v>
      </c>
      <c r="R185" s="35">
        <f>IF(AG185="1",G185,0)</f>
        <v>0</v>
      </c>
      <c r="S185" s="35">
        <f>IF(AG185="1",H185,0)</f>
        <v>0</v>
      </c>
      <c r="T185" s="35">
        <f>IF(AG185="7",G185,0)</f>
        <v>0</v>
      </c>
      <c r="U185" s="35">
        <f>IF(AG185="7",H185,0)</f>
        <v>0</v>
      </c>
      <c r="V185" s="35">
        <f>IF(AG185="2",G185,0)</f>
        <v>0</v>
      </c>
      <c r="W185" s="35">
        <f>IF(AG185="2",H185,0)</f>
        <v>0</v>
      </c>
      <c r="X185" s="35">
        <f>IF(AG185="0",I185,0)</f>
        <v>0</v>
      </c>
      <c r="Y185" s="28"/>
      <c r="Z185" s="21">
        <f>IF(AD185=0,I185,0)</f>
        <v>0</v>
      </c>
      <c r="AA185" s="21">
        <f>IF(AD185=15,I185,0)</f>
        <v>0</v>
      </c>
      <c r="AB185" s="21">
        <f>IF(AD185=21,I185,0)</f>
        <v>0</v>
      </c>
      <c r="AD185" s="35">
        <v>21</v>
      </c>
      <c r="AE185" s="35">
        <f>F185*1</f>
        <v>0</v>
      </c>
      <c r="AF185" s="35">
        <f>F185*(1-1)</f>
        <v>0</v>
      </c>
      <c r="AG185" s="32" t="s">
        <v>7</v>
      </c>
      <c r="AM185" s="35">
        <f>E185*AE185</f>
        <v>0</v>
      </c>
      <c r="AN185" s="35">
        <f>E185*AF185</f>
        <v>0</v>
      </c>
      <c r="AO185" s="36" t="s">
        <v>571</v>
      </c>
      <c r="AP185" s="36" t="s">
        <v>581</v>
      </c>
      <c r="AQ185" s="28" t="s">
        <v>584</v>
      </c>
      <c r="AS185" s="35">
        <f>AM185+AN185</f>
        <v>0</v>
      </c>
      <c r="AT185" s="35">
        <f>F185/(100-AU185)*100</f>
        <v>0</v>
      </c>
      <c r="AU185" s="35">
        <v>0</v>
      </c>
      <c r="AV185" s="35">
        <f>K185</f>
        <v>5.5999859999999999E-2</v>
      </c>
    </row>
    <row r="186" spans="1:48" x14ac:dyDescent="0.2">
      <c r="C186" s="15" t="s">
        <v>7</v>
      </c>
      <c r="E186" s="20">
        <v>1</v>
      </c>
    </row>
    <row r="187" spans="1:48" x14ac:dyDescent="0.2">
      <c r="A187" s="6" t="s">
        <v>65</v>
      </c>
      <c r="B187" s="6" t="s">
        <v>192</v>
      </c>
      <c r="C187" s="6" t="s">
        <v>403</v>
      </c>
      <c r="D187" s="6" t="s">
        <v>527</v>
      </c>
      <c r="E187" s="21">
        <v>2</v>
      </c>
      <c r="F187" s="21">
        <v>0</v>
      </c>
      <c r="G187" s="21">
        <f>E187*AE187</f>
        <v>0</v>
      </c>
      <c r="H187" s="21">
        <f>I187-G187</f>
        <v>0</v>
      </c>
      <c r="I187" s="21">
        <f>E187*F187</f>
        <v>0</v>
      </c>
      <c r="J187" s="21">
        <v>1.95E-2</v>
      </c>
      <c r="K187" s="21">
        <f>E187*J187</f>
        <v>3.9E-2</v>
      </c>
      <c r="L187" s="32" t="s">
        <v>548</v>
      </c>
      <c r="P187" s="35">
        <f>IF(AG187="5",I187,0)</f>
        <v>0</v>
      </c>
      <c r="R187" s="35">
        <f>IF(AG187="1",G187,0)</f>
        <v>0</v>
      </c>
      <c r="S187" s="35">
        <f>IF(AG187="1",H187,0)</f>
        <v>0</v>
      </c>
      <c r="T187" s="35">
        <f>IF(AG187="7",G187,0)</f>
        <v>0</v>
      </c>
      <c r="U187" s="35">
        <f>IF(AG187="7",H187,0)</f>
        <v>0</v>
      </c>
      <c r="V187" s="35">
        <f>IF(AG187="2",G187,0)</f>
        <v>0</v>
      </c>
      <c r="W187" s="35">
        <f>IF(AG187="2",H187,0)</f>
        <v>0</v>
      </c>
      <c r="X187" s="35">
        <f>IF(AG187="0",I187,0)</f>
        <v>0</v>
      </c>
      <c r="Y187" s="28"/>
      <c r="Z187" s="21">
        <f>IF(AD187=0,I187,0)</f>
        <v>0</v>
      </c>
      <c r="AA187" s="21">
        <f>IF(AD187=15,I187,0)</f>
        <v>0</v>
      </c>
      <c r="AB187" s="21">
        <f>IF(AD187=21,I187,0)</f>
        <v>0</v>
      </c>
      <c r="AD187" s="35">
        <v>21</v>
      </c>
      <c r="AE187" s="35">
        <f>F187*1</f>
        <v>0</v>
      </c>
      <c r="AF187" s="35">
        <f>F187*(1-1)</f>
        <v>0</v>
      </c>
      <c r="AG187" s="32" t="s">
        <v>7</v>
      </c>
      <c r="AM187" s="35">
        <f>E187*AE187</f>
        <v>0</v>
      </c>
      <c r="AN187" s="35">
        <f>E187*AF187</f>
        <v>0</v>
      </c>
      <c r="AO187" s="36" t="s">
        <v>571</v>
      </c>
      <c r="AP187" s="36" t="s">
        <v>581</v>
      </c>
      <c r="AQ187" s="28" t="s">
        <v>584</v>
      </c>
      <c r="AS187" s="35">
        <f>AM187+AN187</f>
        <v>0</v>
      </c>
      <c r="AT187" s="35">
        <f>F187/(100-AU187)*100</f>
        <v>0</v>
      </c>
      <c r="AU187" s="35">
        <v>0</v>
      </c>
      <c r="AV187" s="35">
        <f>K187</f>
        <v>3.9E-2</v>
      </c>
    </row>
    <row r="188" spans="1:48" x14ac:dyDescent="0.2">
      <c r="C188" s="15" t="s">
        <v>7</v>
      </c>
      <c r="E188" s="20">
        <v>1</v>
      </c>
    </row>
    <row r="189" spans="1:48" x14ac:dyDescent="0.2">
      <c r="A189" s="6" t="s">
        <v>66</v>
      </c>
      <c r="B189" s="6" t="s">
        <v>193</v>
      </c>
      <c r="C189" s="6" t="s">
        <v>404</v>
      </c>
      <c r="D189" s="6" t="s">
        <v>527</v>
      </c>
      <c r="E189" s="21">
        <v>1.3333299999999999</v>
      </c>
      <c r="F189" s="21">
        <v>0</v>
      </c>
      <c r="G189" s="21">
        <f>E189*AE189</f>
        <v>0</v>
      </c>
      <c r="H189" s="21">
        <f>I189-G189</f>
        <v>0</v>
      </c>
      <c r="I189" s="21">
        <f>E189*F189</f>
        <v>0</v>
      </c>
      <c r="J189" s="21">
        <v>1.5599999999999999E-2</v>
      </c>
      <c r="K189" s="21">
        <f>E189*J189</f>
        <v>2.0799947999999999E-2</v>
      </c>
      <c r="L189" s="32" t="s">
        <v>548</v>
      </c>
      <c r="P189" s="35">
        <f>IF(AG189="5",I189,0)</f>
        <v>0</v>
      </c>
      <c r="R189" s="35">
        <f>IF(AG189="1",G189,0)</f>
        <v>0</v>
      </c>
      <c r="S189" s="35">
        <f>IF(AG189="1",H189,0)</f>
        <v>0</v>
      </c>
      <c r="T189" s="35">
        <f>IF(AG189="7",G189,0)</f>
        <v>0</v>
      </c>
      <c r="U189" s="35">
        <f>IF(AG189="7",H189,0)</f>
        <v>0</v>
      </c>
      <c r="V189" s="35">
        <f>IF(AG189="2",G189,0)</f>
        <v>0</v>
      </c>
      <c r="W189" s="35">
        <f>IF(AG189="2",H189,0)</f>
        <v>0</v>
      </c>
      <c r="X189" s="35">
        <f>IF(AG189="0",I189,0)</f>
        <v>0</v>
      </c>
      <c r="Y189" s="28"/>
      <c r="Z189" s="21">
        <f>IF(AD189=0,I189,0)</f>
        <v>0</v>
      </c>
      <c r="AA189" s="21">
        <f>IF(AD189=15,I189,0)</f>
        <v>0</v>
      </c>
      <c r="AB189" s="21">
        <f>IF(AD189=21,I189,0)</f>
        <v>0</v>
      </c>
      <c r="AD189" s="35">
        <v>21</v>
      </c>
      <c r="AE189" s="35">
        <f>F189*1</f>
        <v>0</v>
      </c>
      <c r="AF189" s="35">
        <f>F189*(1-1)</f>
        <v>0</v>
      </c>
      <c r="AG189" s="32" t="s">
        <v>7</v>
      </c>
      <c r="AM189" s="35">
        <f>E189*AE189</f>
        <v>0</v>
      </c>
      <c r="AN189" s="35">
        <f>E189*AF189</f>
        <v>0</v>
      </c>
      <c r="AO189" s="36" t="s">
        <v>571</v>
      </c>
      <c r="AP189" s="36" t="s">
        <v>581</v>
      </c>
      <c r="AQ189" s="28" t="s">
        <v>584</v>
      </c>
      <c r="AS189" s="35">
        <f>AM189+AN189</f>
        <v>0</v>
      </c>
      <c r="AT189" s="35">
        <f>F189/(100-AU189)*100</f>
        <v>0</v>
      </c>
      <c r="AU189" s="35">
        <v>0</v>
      </c>
      <c r="AV189" s="35">
        <f>K189</f>
        <v>2.0799947999999999E-2</v>
      </c>
    </row>
    <row r="190" spans="1:48" x14ac:dyDescent="0.2">
      <c r="C190" s="15" t="s">
        <v>7</v>
      </c>
      <c r="E190" s="20">
        <v>1</v>
      </c>
    </row>
    <row r="191" spans="1:48" x14ac:dyDescent="0.2">
      <c r="A191" s="6" t="s">
        <v>67</v>
      </c>
      <c r="B191" s="6" t="s">
        <v>194</v>
      </c>
      <c r="C191" s="6" t="s">
        <v>405</v>
      </c>
      <c r="D191" s="6" t="s">
        <v>527</v>
      </c>
      <c r="E191" s="21">
        <v>1.3333299999999999</v>
      </c>
      <c r="F191" s="21">
        <v>0</v>
      </c>
      <c r="G191" s="21">
        <f>E191*AE191</f>
        <v>0</v>
      </c>
      <c r="H191" s="21">
        <f>I191-G191</f>
        <v>0</v>
      </c>
      <c r="I191" s="21">
        <f>E191*F191</f>
        <v>0</v>
      </c>
      <c r="J191" s="21">
        <v>2.4199999999999999E-2</v>
      </c>
      <c r="K191" s="21">
        <f>E191*J191</f>
        <v>3.2266586E-2</v>
      </c>
      <c r="L191" s="32" t="s">
        <v>548</v>
      </c>
      <c r="P191" s="35">
        <f>IF(AG191="5",I191,0)</f>
        <v>0</v>
      </c>
      <c r="R191" s="35">
        <f>IF(AG191="1",G191,0)</f>
        <v>0</v>
      </c>
      <c r="S191" s="35">
        <f>IF(AG191="1",H191,0)</f>
        <v>0</v>
      </c>
      <c r="T191" s="35">
        <f>IF(AG191="7",G191,0)</f>
        <v>0</v>
      </c>
      <c r="U191" s="35">
        <f>IF(AG191="7",H191,0)</f>
        <v>0</v>
      </c>
      <c r="V191" s="35">
        <f>IF(AG191="2",G191,0)</f>
        <v>0</v>
      </c>
      <c r="W191" s="35">
        <f>IF(AG191="2",H191,0)</f>
        <v>0</v>
      </c>
      <c r="X191" s="35">
        <f>IF(AG191="0",I191,0)</f>
        <v>0</v>
      </c>
      <c r="Y191" s="28"/>
      <c r="Z191" s="21">
        <f>IF(AD191=0,I191,0)</f>
        <v>0</v>
      </c>
      <c r="AA191" s="21">
        <f>IF(AD191=15,I191,0)</f>
        <v>0</v>
      </c>
      <c r="AB191" s="21">
        <f>IF(AD191=21,I191,0)</f>
        <v>0</v>
      </c>
      <c r="AD191" s="35">
        <v>21</v>
      </c>
      <c r="AE191" s="35">
        <f>F191*1</f>
        <v>0</v>
      </c>
      <c r="AF191" s="35">
        <f>F191*(1-1)</f>
        <v>0</v>
      </c>
      <c r="AG191" s="32" t="s">
        <v>7</v>
      </c>
      <c r="AM191" s="35">
        <f>E191*AE191</f>
        <v>0</v>
      </c>
      <c r="AN191" s="35">
        <f>E191*AF191</f>
        <v>0</v>
      </c>
      <c r="AO191" s="36" t="s">
        <v>571</v>
      </c>
      <c r="AP191" s="36" t="s">
        <v>581</v>
      </c>
      <c r="AQ191" s="28" t="s">
        <v>584</v>
      </c>
      <c r="AS191" s="35">
        <f>AM191+AN191</f>
        <v>0</v>
      </c>
      <c r="AT191" s="35">
        <f>F191/(100-AU191)*100</f>
        <v>0</v>
      </c>
      <c r="AU191" s="35">
        <v>0</v>
      </c>
      <c r="AV191" s="35">
        <f>K191</f>
        <v>3.2266586E-2</v>
      </c>
    </row>
    <row r="192" spans="1:48" x14ac:dyDescent="0.2">
      <c r="C192" s="15" t="s">
        <v>7</v>
      </c>
      <c r="E192" s="20">
        <v>1</v>
      </c>
    </row>
    <row r="193" spans="1:48" x14ac:dyDescent="0.2">
      <c r="A193" s="5"/>
      <c r="B193" s="13" t="s">
        <v>95</v>
      </c>
      <c r="C193" s="13" t="s">
        <v>406</v>
      </c>
      <c r="D193" s="5" t="s">
        <v>6</v>
      </c>
      <c r="E193" s="5" t="s">
        <v>6</v>
      </c>
      <c r="F193" s="5" t="s">
        <v>6</v>
      </c>
      <c r="G193" s="38">
        <f>SUM(G194:G243)</f>
        <v>0</v>
      </c>
      <c r="H193" s="38">
        <f>SUM(H194:H243)</f>
        <v>0</v>
      </c>
      <c r="I193" s="38">
        <f>G193+H193</f>
        <v>0</v>
      </c>
      <c r="J193" s="28"/>
      <c r="K193" s="38">
        <f>SUM(K194:K243)</f>
        <v>2.4393400000000001</v>
      </c>
      <c r="L193" s="28"/>
      <c r="Y193" s="28"/>
      <c r="AI193" s="38">
        <f>SUM(Z194:Z243)</f>
        <v>0</v>
      </c>
      <c r="AJ193" s="38">
        <f>SUM(AA194:AA243)</f>
        <v>0</v>
      </c>
      <c r="AK193" s="38">
        <f>SUM(AB194:AB243)</f>
        <v>0</v>
      </c>
    </row>
    <row r="194" spans="1:48" x14ac:dyDescent="0.2">
      <c r="A194" s="4" t="s">
        <v>68</v>
      </c>
      <c r="B194" s="4" t="s">
        <v>195</v>
      </c>
      <c r="C194" s="4" t="s">
        <v>407</v>
      </c>
      <c r="D194" s="4" t="s">
        <v>527</v>
      </c>
      <c r="E194" s="19">
        <v>1</v>
      </c>
      <c r="F194" s="19">
        <v>0</v>
      </c>
      <c r="G194" s="19">
        <f>E194*AE194</f>
        <v>0</v>
      </c>
      <c r="H194" s="19">
        <f>I194-G194</f>
        <v>0</v>
      </c>
      <c r="I194" s="19">
        <f>E194*F194</f>
        <v>0</v>
      </c>
      <c r="J194" s="19">
        <v>1.1E-4</v>
      </c>
      <c r="K194" s="19">
        <f>E194*J194</f>
        <v>1.1E-4</v>
      </c>
      <c r="L194" s="31" t="s">
        <v>548</v>
      </c>
      <c r="P194" s="35">
        <f>IF(AG194="5",I194,0)</f>
        <v>0</v>
      </c>
      <c r="R194" s="35">
        <f>IF(AG194="1",G194,0)</f>
        <v>0</v>
      </c>
      <c r="S194" s="35">
        <f>IF(AG194="1",H194,0)</f>
        <v>0</v>
      </c>
      <c r="T194" s="35">
        <f>IF(AG194="7",G194,0)</f>
        <v>0</v>
      </c>
      <c r="U194" s="35">
        <f>IF(AG194="7",H194,0)</f>
        <v>0</v>
      </c>
      <c r="V194" s="35">
        <f>IF(AG194="2",G194,0)</f>
        <v>0</v>
      </c>
      <c r="W194" s="35">
        <f>IF(AG194="2",H194,0)</f>
        <v>0</v>
      </c>
      <c r="X194" s="35">
        <f>IF(AG194="0",I194,0)</f>
        <v>0</v>
      </c>
      <c r="Y194" s="28"/>
      <c r="Z194" s="19">
        <f>IF(AD194=0,I194,0)</f>
        <v>0</v>
      </c>
      <c r="AA194" s="19">
        <f>IF(AD194=15,I194,0)</f>
        <v>0</v>
      </c>
      <c r="AB194" s="19">
        <f>IF(AD194=21,I194,0)</f>
        <v>0</v>
      </c>
      <c r="AD194" s="35">
        <v>21</v>
      </c>
      <c r="AE194" s="35">
        <f>F194*0.113016393442623</f>
        <v>0</v>
      </c>
      <c r="AF194" s="35">
        <f>F194*(1-0.113016393442623)</f>
        <v>0</v>
      </c>
      <c r="AG194" s="31" t="s">
        <v>7</v>
      </c>
      <c r="AM194" s="35">
        <f>E194*AE194</f>
        <v>0</v>
      </c>
      <c r="AN194" s="35">
        <f>E194*AF194</f>
        <v>0</v>
      </c>
      <c r="AO194" s="36" t="s">
        <v>572</v>
      </c>
      <c r="AP194" s="36" t="s">
        <v>581</v>
      </c>
      <c r="AQ194" s="28" t="s">
        <v>584</v>
      </c>
      <c r="AS194" s="35">
        <f>AM194+AN194</f>
        <v>0</v>
      </c>
      <c r="AT194" s="35">
        <f>F194/(100-AU194)*100</f>
        <v>0</v>
      </c>
      <c r="AU194" s="35">
        <v>0</v>
      </c>
      <c r="AV194" s="35">
        <f>K194</f>
        <v>1.1E-4</v>
      </c>
    </row>
    <row r="195" spans="1:48" x14ac:dyDescent="0.2">
      <c r="C195" s="15" t="s">
        <v>7</v>
      </c>
      <c r="E195" s="20">
        <v>1</v>
      </c>
    </row>
    <row r="196" spans="1:48" ht="64.150000000000006" customHeight="1" x14ac:dyDescent="0.2">
      <c r="B196" s="12" t="s">
        <v>133</v>
      </c>
      <c r="C196" s="112" t="s">
        <v>408</v>
      </c>
      <c r="D196" s="113"/>
      <c r="E196" s="113"/>
      <c r="F196" s="113"/>
      <c r="G196" s="113"/>
      <c r="H196" s="113"/>
      <c r="I196" s="113"/>
      <c r="J196" s="113"/>
      <c r="K196" s="113"/>
      <c r="L196" s="113"/>
    </row>
    <row r="197" spans="1:48" x14ac:dyDescent="0.2">
      <c r="A197" s="6" t="s">
        <v>69</v>
      </c>
      <c r="B197" s="6" t="s">
        <v>196</v>
      </c>
      <c r="C197" s="6" t="s">
        <v>409</v>
      </c>
      <c r="D197" s="6" t="s">
        <v>527</v>
      </c>
      <c r="E197" s="21">
        <v>1</v>
      </c>
      <c r="F197" s="21">
        <v>0</v>
      </c>
      <c r="G197" s="21">
        <f>E197*AE197</f>
        <v>0</v>
      </c>
      <c r="H197" s="21">
        <f>I197-G197</f>
        <v>0</v>
      </c>
      <c r="I197" s="21">
        <f>E197*F197</f>
        <v>0</v>
      </c>
      <c r="J197" s="21">
        <v>4.2500000000000003E-2</v>
      </c>
      <c r="K197" s="21">
        <f>E197*J197</f>
        <v>4.2500000000000003E-2</v>
      </c>
      <c r="L197" s="32" t="s">
        <v>548</v>
      </c>
      <c r="P197" s="35">
        <f>IF(AG197="5",I197,0)</f>
        <v>0</v>
      </c>
      <c r="R197" s="35">
        <f>IF(AG197="1",G197,0)</f>
        <v>0</v>
      </c>
      <c r="S197" s="35">
        <f>IF(AG197="1",H197,0)</f>
        <v>0</v>
      </c>
      <c r="T197" s="35">
        <f>IF(AG197="7",G197,0)</f>
        <v>0</v>
      </c>
      <c r="U197" s="35">
        <f>IF(AG197="7",H197,0)</f>
        <v>0</v>
      </c>
      <c r="V197" s="35">
        <f>IF(AG197="2",G197,0)</f>
        <v>0</v>
      </c>
      <c r="W197" s="35">
        <f>IF(AG197="2",H197,0)</f>
        <v>0</v>
      </c>
      <c r="X197" s="35">
        <f>IF(AG197="0",I197,0)</f>
        <v>0</v>
      </c>
      <c r="Y197" s="28"/>
      <c r="Z197" s="21">
        <f>IF(AD197=0,I197,0)</f>
        <v>0</v>
      </c>
      <c r="AA197" s="21">
        <f>IF(AD197=15,I197,0)</f>
        <v>0</v>
      </c>
      <c r="AB197" s="21">
        <f>IF(AD197=21,I197,0)</f>
        <v>0</v>
      </c>
      <c r="AD197" s="35">
        <v>21</v>
      </c>
      <c r="AE197" s="35">
        <f>F197*1</f>
        <v>0</v>
      </c>
      <c r="AF197" s="35">
        <f>F197*(1-1)</f>
        <v>0</v>
      </c>
      <c r="AG197" s="32" t="s">
        <v>7</v>
      </c>
      <c r="AM197" s="35">
        <f>E197*AE197</f>
        <v>0</v>
      </c>
      <c r="AN197" s="35">
        <f>E197*AF197</f>
        <v>0</v>
      </c>
      <c r="AO197" s="36" t="s">
        <v>572</v>
      </c>
      <c r="AP197" s="36" t="s">
        <v>581</v>
      </c>
      <c r="AQ197" s="28" t="s">
        <v>584</v>
      </c>
      <c r="AS197" s="35">
        <f>AM197+AN197</f>
        <v>0</v>
      </c>
      <c r="AT197" s="35">
        <f>F197/(100-AU197)*100</f>
        <v>0</v>
      </c>
      <c r="AU197" s="35">
        <v>0</v>
      </c>
      <c r="AV197" s="35">
        <f>K197</f>
        <v>4.2500000000000003E-2</v>
      </c>
    </row>
    <row r="198" spans="1:48" x14ac:dyDescent="0.2">
      <c r="C198" s="15" t="s">
        <v>7</v>
      </c>
      <c r="E198" s="20">
        <v>1</v>
      </c>
    </row>
    <row r="199" spans="1:48" x14ac:dyDescent="0.2">
      <c r="A199" s="4" t="s">
        <v>70</v>
      </c>
      <c r="B199" s="4" t="s">
        <v>197</v>
      </c>
      <c r="C199" s="4" t="s">
        <v>410</v>
      </c>
      <c r="D199" s="4" t="s">
        <v>527</v>
      </c>
      <c r="E199" s="19">
        <v>1</v>
      </c>
      <c r="F199" s="19">
        <v>0</v>
      </c>
      <c r="G199" s="19">
        <f>E199*AE199</f>
        <v>0</v>
      </c>
      <c r="H199" s="19">
        <f>I199-G199</f>
        <v>0</v>
      </c>
      <c r="I199" s="19">
        <f>E199*F199</f>
        <v>0</v>
      </c>
      <c r="J199" s="19">
        <v>0.29823</v>
      </c>
      <c r="K199" s="19">
        <f>E199*J199</f>
        <v>0.29823</v>
      </c>
      <c r="L199" s="31" t="s">
        <v>548</v>
      </c>
      <c r="P199" s="35">
        <f>IF(AG199="5",I199,0)</f>
        <v>0</v>
      </c>
      <c r="R199" s="35">
        <f>IF(AG199="1",G199,0)</f>
        <v>0</v>
      </c>
      <c r="S199" s="35">
        <f>IF(AG199="1",H199,0)</f>
        <v>0</v>
      </c>
      <c r="T199" s="35">
        <f>IF(AG199="7",G199,0)</f>
        <v>0</v>
      </c>
      <c r="U199" s="35">
        <f>IF(AG199="7",H199,0)</f>
        <v>0</v>
      </c>
      <c r="V199" s="35">
        <f>IF(AG199="2",G199,0)</f>
        <v>0</v>
      </c>
      <c r="W199" s="35">
        <f>IF(AG199="2",H199,0)</f>
        <v>0</v>
      </c>
      <c r="X199" s="35">
        <f>IF(AG199="0",I199,0)</f>
        <v>0</v>
      </c>
      <c r="Y199" s="28"/>
      <c r="Z199" s="19">
        <f>IF(AD199=0,I199,0)</f>
        <v>0</v>
      </c>
      <c r="AA199" s="19">
        <f>IF(AD199=15,I199,0)</f>
        <v>0</v>
      </c>
      <c r="AB199" s="19">
        <f>IF(AD199=21,I199,0)</f>
        <v>0</v>
      </c>
      <c r="AD199" s="35">
        <v>21</v>
      </c>
      <c r="AE199" s="35">
        <f>F199*0.516936416184971</f>
        <v>0</v>
      </c>
      <c r="AF199" s="35">
        <f>F199*(1-0.516936416184971)</f>
        <v>0</v>
      </c>
      <c r="AG199" s="31" t="s">
        <v>7</v>
      </c>
      <c r="AM199" s="35">
        <f>E199*AE199</f>
        <v>0</v>
      </c>
      <c r="AN199" s="35">
        <f>E199*AF199</f>
        <v>0</v>
      </c>
      <c r="AO199" s="36" t="s">
        <v>572</v>
      </c>
      <c r="AP199" s="36" t="s">
        <v>581</v>
      </c>
      <c r="AQ199" s="28" t="s">
        <v>584</v>
      </c>
      <c r="AS199" s="35">
        <f>AM199+AN199</f>
        <v>0</v>
      </c>
      <c r="AT199" s="35">
        <f>F199/(100-AU199)*100</f>
        <v>0</v>
      </c>
      <c r="AU199" s="35">
        <v>0</v>
      </c>
      <c r="AV199" s="35">
        <f>K199</f>
        <v>0.29823</v>
      </c>
    </row>
    <row r="200" spans="1:48" x14ac:dyDescent="0.2">
      <c r="C200" s="15" t="s">
        <v>7</v>
      </c>
      <c r="E200" s="20">
        <v>1</v>
      </c>
    </row>
    <row r="201" spans="1:48" ht="25.7" customHeight="1" x14ac:dyDescent="0.2">
      <c r="B201" s="12" t="s">
        <v>133</v>
      </c>
      <c r="C201" s="112" t="s">
        <v>411</v>
      </c>
      <c r="D201" s="113"/>
      <c r="E201" s="113"/>
      <c r="F201" s="113"/>
      <c r="G201" s="113"/>
      <c r="H201" s="113"/>
      <c r="I201" s="113"/>
      <c r="J201" s="113"/>
      <c r="K201" s="113"/>
      <c r="L201" s="113"/>
    </row>
    <row r="202" spans="1:48" x14ac:dyDescent="0.2">
      <c r="A202" s="6" t="s">
        <v>71</v>
      </c>
      <c r="B202" s="6" t="s">
        <v>198</v>
      </c>
      <c r="C202" s="6" t="s">
        <v>412</v>
      </c>
      <c r="D202" s="6" t="s">
        <v>527</v>
      </c>
      <c r="E202" s="21">
        <v>1</v>
      </c>
      <c r="F202" s="21">
        <v>0</v>
      </c>
      <c r="G202" s="21">
        <f>E202*AE202</f>
        <v>0</v>
      </c>
      <c r="H202" s="21">
        <f>I202-G202</f>
        <v>0</v>
      </c>
      <c r="I202" s="21">
        <f>E202*F202</f>
        <v>0</v>
      </c>
      <c r="J202" s="21">
        <v>0.03</v>
      </c>
      <c r="K202" s="21">
        <f>E202*J202</f>
        <v>0.03</v>
      </c>
      <c r="L202" s="32" t="s">
        <v>548</v>
      </c>
      <c r="P202" s="35">
        <f>IF(AG202="5",I202,0)</f>
        <v>0</v>
      </c>
      <c r="R202" s="35">
        <f>IF(AG202="1",G202,0)</f>
        <v>0</v>
      </c>
      <c r="S202" s="35">
        <f>IF(AG202="1",H202,0)</f>
        <v>0</v>
      </c>
      <c r="T202" s="35">
        <f>IF(AG202="7",G202,0)</f>
        <v>0</v>
      </c>
      <c r="U202" s="35">
        <f>IF(AG202="7",H202,0)</f>
        <v>0</v>
      </c>
      <c r="V202" s="35">
        <f>IF(AG202="2",G202,0)</f>
        <v>0</v>
      </c>
      <c r="W202" s="35">
        <f>IF(AG202="2",H202,0)</f>
        <v>0</v>
      </c>
      <c r="X202" s="35">
        <f>IF(AG202="0",I202,0)</f>
        <v>0</v>
      </c>
      <c r="Y202" s="28"/>
      <c r="Z202" s="21">
        <f>IF(AD202=0,I202,0)</f>
        <v>0</v>
      </c>
      <c r="AA202" s="21">
        <f>IF(AD202=15,I202,0)</f>
        <v>0</v>
      </c>
      <c r="AB202" s="21">
        <f>IF(AD202=21,I202,0)</f>
        <v>0</v>
      </c>
      <c r="AD202" s="35">
        <v>21</v>
      </c>
      <c r="AE202" s="35">
        <f>F202*1</f>
        <v>0</v>
      </c>
      <c r="AF202" s="35">
        <f>F202*(1-1)</f>
        <v>0</v>
      </c>
      <c r="AG202" s="32" t="s">
        <v>7</v>
      </c>
      <c r="AM202" s="35">
        <f>E202*AE202</f>
        <v>0</v>
      </c>
      <c r="AN202" s="35">
        <f>E202*AF202</f>
        <v>0</v>
      </c>
      <c r="AO202" s="36" t="s">
        <v>572</v>
      </c>
      <c r="AP202" s="36" t="s">
        <v>581</v>
      </c>
      <c r="AQ202" s="28" t="s">
        <v>584</v>
      </c>
      <c r="AS202" s="35">
        <f>AM202+AN202</f>
        <v>0</v>
      </c>
      <c r="AT202" s="35">
        <f>F202/(100-AU202)*100</f>
        <v>0</v>
      </c>
      <c r="AU202" s="35">
        <v>0</v>
      </c>
      <c r="AV202" s="35">
        <f>K202</f>
        <v>0.03</v>
      </c>
    </row>
    <row r="203" spans="1:48" x14ac:dyDescent="0.2">
      <c r="C203" s="15" t="s">
        <v>7</v>
      </c>
      <c r="E203" s="20">
        <v>1</v>
      </c>
    </row>
    <row r="204" spans="1:48" x14ac:dyDescent="0.2">
      <c r="A204" s="4" t="s">
        <v>72</v>
      </c>
      <c r="B204" s="4" t="s">
        <v>199</v>
      </c>
      <c r="C204" s="4" t="s">
        <v>413</v>
      </c>
      <c r="D204" s="4" t="s">
        <v>527</v>
      </c>
      <c r="E204" s="19">
        <v>1</v>
      </c>
      <c r="F204" s="19">
        <v>0</v>
      </c>
      <c r="G204" s="19">
        <f>E204*AE204</f>
        <v>0</v>
      </c>
      <c r="H204" s="19">
        <f>I204-G204</f>
        <v>0</v>
      </c>
      <c r="I204" s="19">
        <f>E204*F204</f>
        <v>0</v>
      </c>
      <c r="J204" s="19">
        <v>2.7799999999999999E-3</v>
      </c>
      <c r="K204" s="19">
        <f>E204*J204</f>
        <v>2.7799999999999999E-3</v>
      </c>
      <c r="L204" s="31" t="s">
        <v>548</v>
      </c>
      <c r="P204" s="35">
        <f>IF(AG204="5",I204,0)</f>
        <v>0</v>
      </c>
      <c r="R204" s="35">
        <f>IF(AG204="1",G204,0)</f>
        <v>0</v>
      </c>
      <c r="S204" s="35">
        <f>IF(AG204="1",H204,0)</f>
        <v>0</v>
      </c>
      <c r="T204" s="35">
        <f>IF(AG204="7",G204,0)</f>
        <v>0</v>
      </c>
      <c r="U204" s="35">
        <f>IF(AG204="7",H204,0)</f>
        <v>0</v>
      </c>
      <c r="V204" s="35">
        <f>IF(AG204="2",G204,0)</f>
        <v>0</v>
      </c>
      <c r="W204" s="35">
        <f>IF(AG204="2",H204,0)</f>
        <v>0</v>
      </c>
      <c r="X204" s="35">
        <f>IF(AG204="0",I204,0)</f>
        <v>0</v>
      </c>
      <c r="Y204" s="28"/>
      <c r="Z204" s="19">
        <f>IF(AD204=0,I204,0)</f>
        <v>0</v>
      </c>
      <c r="AA204" s="19">
        <f>IF(AD204=15,I204,0)</f>
        <v>0</v>
      </c>
      <c r="AB204" s="19">
        <f>IF(AD204=21,I204,0)</f>
        <v>0</v>
      </c>
      <c r="AD204" s="35">
        <v>21</v>
      </c>
      <c r="AE204" s="35">
        <f>F204*0.1771272988593</f>
        <v>0</v>
      </c>
      <c r="AF204" s="35">
        <f>F204*(1-0.1771272988593)</f>
        <v>0</v>
      </c>
      <c r="AG204" s="31" t="s">
        <v>7</v>
      </c>
      <c r="AM204" s="35">
        <f>E204*AE204</f>
        <v>0</v>
      </c>
      <c r="AN204" s="35">
        <f>E204*AF204</f>
        <v>0</v>
      </c>
      <c r="AO204" s="36" t="s">
        <v>572</v>
      </c>
      <c r="AP204" s="36" t="s">
        <v>581</v>
      </c>
      <c r="AQ204" s="28" t="s">
        <v>584</v>
      </c>
      <c r="AS204" s="35">
        <f>AM204+AN204</f>
        <v>0</v>
      </c>
      <c r="AT204" s="35">
        <f>F204/(100-AU204)*100</f>
        <v>0</v>
      </c>
      <c r="AU204" s="35">
        <v>0</v>
      </c>
      <c r="AV204" s="35">
        <f>K204</f>
        <v>2.7799999999999999E-3</v>
      </c>
    </row>
    <row r="205" spans="1:48" x14ac:dyDescent="0.2">
      <c r="C205" s="15" t="s">
        <v>7</v>
      </c>
      <c r="E205" s="20">
        <v>1</v>
      </c>
    </row>
    <row r="206" spans="1:48" ht="51.4" customHeight="1" x14ac:dyDescent="0.2">
      <c r="B206" s="12" t="s">
        <v>133</v>
      </c>
      <c r="C206" s="112" t="s">
        <v>414</v>
      </c>
      <c r="D206" s="113"/>
      <c r="E206" s="113"/>
      <c r="F206" s="113"/>
      <c r="G206" s="113"/>
      <c r="H206" s="113"/>
      <c r="I206" s="113"/>
      <c r="J206" s="113"/>
      <c r="K206" s="113"/>
      <c r="L206" s="113"/>
    </row>
    <row r="207" spans="1:48" x14ac:dyDescent="0.2">
      <c r="A207" s="6" t="s">
        <v>73</v>
      </c>
      <c r="B207" s="6" t="s">
        <v>200</v>
      </c>
      <c r="C207" s="6" t="s">
        <v>415</v>
      </c>
      <c r="D207" s="6" t="s">
        <v>527</v>
      </c>
      <c r="E207" s="21">
        <v>1</v>
      </c>
      <c r="F207" s="21">
        <v>0</v>
      </c>
      <c r="G207" s="21">
        <f>E207*AE207</f>
        <v>0</v>
      </c>
      <c r="H207" s="21">
        <f>I207-G207</f>
        <v>0</v>
      </c>
      <c r="I207" s="21">
        <f>E207*F207</f>
        <v>0</v>
      </c>
      <c r="J207" s="21">
        <v>5.2499999999999998E-2</v>
      </c>
      <c r="K207" s="21">
        <f>E207*J207</f>
        <v>5.2499999999999998E-2</v>
      </c>
      <c r="L207" s="32" t="s">
        <v>548</v>
      </c>
      <c r="P207" s="35">
        <f>IF(AG207="5",I207,0)</f>
        <v>0</v>
      </c>
      <c r="R207" s="35">
        <f>IF(AG207="1",G207,0)</f>
        <v>0</v>
      </c>
      <c r="S207" s="35">
        <f>IF(AG207="1",H207,0)</f>
        <v>0</v>
      </c>
      <c r="T207" s="35">
        <f>IF(AG207="7",G207,0)</f>
        <v>0</v>
      </c>
      <c r="U207" s="35">
        <f>IF(AG207="7",H207,0)</f>
        <v>0</v>
      </c>
      <c r="V207" s="35">
        <f>IF(AG207="2",G207,0)</f>
        <v>0</v>
      </c>
      <c r="W207" s="35">
        <f>IF(AG207="2",H207,0)</f>
        <v>0</v>
      </c>
      <c r="X207" s="35">
        <f>IF(AG207="0",I207,0)</f>
        <v>0</v>
      </c>
      <c r="Y207" s="28"/>
      <c r="Z207" s="21">
        <f>IF(AD207=0,I207,0)</f>
        <v>0</v>
      </c>
      <c r="AA207" s="21">
        <f>IF(AD207=15,I207,0)</f>
        <v>0</v>
      </c>
      <c r="AB207" s="21">
        <f>IF(AD207=21,I207,0)</f>
        <v>0</v>
      </c>
      <c r="AD207" s="35">
        <v>21</v>
      </c>
      <c r="AE207" s="35">
        <f>F207*1</f>
        <v>0</v>
      </c>
      <c r="AF207" s="35">
        <f>F207*(1-1)</f>
        <v>0</v>
      </c>
      <c r="AG207" s="32" t="s">
        <v>7</v>
      </c>
      <c r="AM207" s="35">
        <f>E207*AE207</f>
        <v>0</v>
      </c>
      <c r="AN207" s="35">
        <f>E207*AF207</f>
        <v>0</v>
      </c>
      <c r="AO207" s="36" t="s">
        <v>572</v>
      </c>
      <c r="AP207" s="36" t="s">
        <v>581</v>
      </c>
      <c r="AQ207" s="28" t="s">
        <v>584</v>
      </c>
      <c r="AS207" s="35">
        <f>AM207+AN207</f>
        <v>0</v>
      </c>
      <c r="AT207" s="35">
        <f>F207/(100-AU207)*100</f>
        <v>0</v>
      </c>
      <c r="AU207" s="35">
        <v>0</v>
      </c>
      <c r="AV207" s="35">
        <f>K207</f>
        <v>5.2499999999999998E-2</v>
      </c>
    </row>
    <row r="208" spans="1:48" x14ac:dyDescent="0.2">
      <c r="C208" s="15" t="s">
        <v>7</v>
      </c>
      <c r="E208" s="20">
        <v>1</v>
      </c>
    </row>
    <row r="209" spans="1:48" x14ac:dyDescent="0.2">
      <c r="A209" s="4" t="s">
        <v>74</v>
      </c>
      <c r="B209" s="4" t="s">
        <v>201</v>
      </c>
      <c r="C209" s="4" t="s">
        <v>416</v>
      </c>
      <c r="D209" s="4" t="s">
        <v>527</v>
      </c>
      <c r="E209" s="19">
        <v>1</v>
      </c>
      <c r="F209" s="19">
        <v>0</v>
      </c>
      <c r="G209" s="19">
        <f>E209*AE209</f>
        <v>0</v>
      </c>
      <c r="H209" s="19">
        <f>I209-G209</f>
        <v>0</v>
      </c>
      <c r="I209" s="19">
        <f>E209*F209</f>
        <v>0</v>
      </c>
      <c r="J209" s="19">
        <v>0.11178</v>
      </c>
      <c r="K209" s="19">
        <f>E209*J209</f>
        <v>0.11178</v>
      </c>
      <c r="L209" s="31" t="s">
        <v>548</v>
      </c>
      <c r="P209" s="35">
        <f>IF(AG209="5",I209,0)</f>
        <v>0</v>
      </c>
      <c r="R209" s="35">
        <f>IF(AG209="1",G209,0)</f>
        <v>0</v>
      </c>
      <c r="S209" s="35">
        <f>IF(AG209="1",H209,0)</f>
        <v>0</v>
      </c>
      <c r="T209" s="35">
        <f>IF(AG209="7",G209,0)</f>
        <v>0</v>
      </c>
      <c r="U209" s="35">
        <f>IF(AG209="7",H209,0)</f>
        <v>0</v>
      </c>
      <c r="V209" s="35">
        <f>IF(AG209="2",G209,0)</f>
        <v>0</v>
      </c>
      <c r="W209" s="35">
        <f>IF(AG209="2",H209,0)</f>
        <v>0</v>
      </c>
      <c r="X209" s="35">
        <f>IF(AG209="0",I209,0)</f>
        <v>0</v>
      </c>
      <c r="Y209" s="28"/>
      <c r="Z209" s="19">
        <f>IF(AD209=0,I209,0)</f>
        <v>0</v>
      </c>
      <c r="AA209" s="19">
        <f>IF(AD209=15,I209,0)</f>
        <v>0</v>
      </c>
      <c r="AB209" s="19">
        <f>IF(AD209=21,I209,0)</f>
        <v>0</v>
      </c>
      <c r="AD209" s="35">
        <v>21</v>
      </c>
      <c r="AE209" s="35">
        <f>F209*0.356913183279743</f>
        <v>0</v>
      </c>
      <c r="AF209" s="35">
        <f>F209*(1-0.356913183279743)</f>
        <v>0</v>
      </c>
      <c r="AG209" s="31" t="s">
        <v>7</v>
      </c>
      <c r="AM209" s="35">
        <f>E209*AE209</f>
        <v>0</v>
      </c>
      <c r="AN209" s="35">
        <f>E209*AF209</f>
        <v>0</v>
      </c>
      <c r="AO209" s="36" t="s">
        <v>572</v>
      </c>
      <c r="AP209" s="36" t="s">
        <v>581</v>
      </c>
      <c r="AQ209" s="28" t="s">
        <v>584</v>
      </c>
      <c r="AS209" s="35">
        <f>AM209+AN209</f>
        <v>0</v>
      </c>
      <c r="AT209" s="35">
        <f>F209/(100-AU209)*100</f>
        <v>0</v>
      </c>
      <c r="AU209" s="35">
        <v>0</v>
      </c>
      <c r="AV209" s="35">
        <f>K209</f>
        <v>0.11178</v>
      </c>
    </row>
    <row r="210" spans="1:48" x14ac:dyDescent="0.2">
      <c r="C210" s="15" t="s">
        <v>7</v>
      </c>
      <c r="E210" s="20">
        <v>1</v>
      </c>
    </row>
    <row r="211" spans="1:48" ht="25.7" customHeight="1" x14ac:dyDescent="0.2">
      <c r="B211" s="12" t="s">
        <v>133</v>
      </c>
      <c r="C211" s="112" t="s">
        <v>411</v>
      </c>
      <c r="D211" s="113"/>
      <c r="E211" s="113"/>
      <c r="F211" s="113"/>
      <c r="G211" s="113"/>
      <c r="H211" s="113"/>
      <c r="I211" s="113"/>
      <c r="J211" s="113"/>
      <c r="K211" s="113"/>
      <c r="L211" s="113"/>
    </row>
    <row r="212" spans="1:48" x14ac:dyDescent="0.2">
      <c r="A212" s="6" t="s">
        <v>75</v>
      </c>
      <c r="B212" s="6" t="s">
        <v>202</v>
      </c>
      <c r="C212" s="6" t="s">
        <v>417</v>
      </c>
      <c r="D212" s="6" t="s">
        <v>527</v>
      </c>
      <c r="E212" s="21">
        <v>1</v>
      </c>
      <c r="F212" s="21">
        <v>0</v>
      </c>
      <c r="G212" s="21">
        <f>E212*AE212</f>
        <v>0</v>
      </c>
      <c r="H212" s="21">
        <f>I212-G212</f>
        <v>0</v>
      </c>
      <c r="I212" s="21">
        <f>E212*F212</f>
        <v>0</v>
      </c>
      <c r="J212" s="21">
        <v>1.4E-2</v>
      </c>
      <c r="K212" s="21">
        <f>E212*J212</f>
        <v>1.4E-2</v>
      </c>
      <c r="L212" s="32" t="s">
        <v>548</v>
      </c>
      <c r="P212" s="35">
        <f>IF(AG212="5",I212,0)</f>
        <v>0</v>
      </c>
      <c r="R212" s="35">
        <f>IF(AG212="1",G212,0)</f>
        <v>0</v>
      </c>
      <c r="S212" s="35">
        <f>IF(AG212="1",H212,0)</f>
        <v>0</v>
      </c>
      <c r="T212" s="35">
        <f>IF(AG212="7",G212,0)</f>
        <v>0</v>
      </c>
      <c r="U212" s="35">
        <f>IF(AG212="7",H212,0)</f>
        <v>0</v>
      </c>
      <c r="V212" s="35">
        <f>IF(AG212="2",G212,0)</f>
        <v>0</v>
      </c>
      <c r="W212" s="35">
        <f>IF(AG212="2",H212,0)</f>
        <v>0</v>
      </c>
      <c r="X212" s="35">
        <f>IF(AG212="0",I212,0)</f>
        <v>0</v>
      </c>
      <c r="Y212" s="28"/>
      <c r="Z212" s="21">
        <f>IF(AD212=0,I212,0)</f>
        <v>0</v>
      </c>
      <c r="AA212" s="21">
        <f>IF(AD212=15,I212,0)</f>
        <v>0</v>
      </c>
      <c r="AB212" s="21">
        <f>IF(AD212=21,I212,0)</f>
        <v>0</v>
      </c>
      <c r="AD212" s="35">
        <v>21</v>
      </c>
      <c r="AE212" s="35">
        <f>F212*1</f>
        <v>0</v>
      </c>
      <c r="AF212" s="35">
        <f>F212*(1-1)</f>
        <v>0</v>
      </c>
      <c r="AG212" s="32" t="s">
        <v>7</v>
      </c>
      <c r="AM212" s="35">
        <f>E212*AE212</f>
        <v>0</v>
      </c>
      <c r="AN212" s="35">
        <f>E212*AF212</f>
        <v>0</v>
      </c>
      <c r="AO212" s="36" t="s">
        <v>572</v>
      </c>
      <c r="AP212" s="36" t="s">
        <v>581</v>
      </c>
      <c r="AQ212" s="28" t="s">
        <v>584</v>
      </c>
      <c r="AS212" s="35">
        <f>AM212+AN212</f>
        <v>0</v>
      </c>
      <c r="AT212" s="35">
        <f>F212/(100-AU212)*100</f>
        <v>0</v>
      </c>
      <c r="AU212" s="35">
        <v>0</v>
      </c>
      <c r="AV212" s="35">
        <f>K212</f>
        <v>1.4E-2</v>
      </c>
    </row>
    <row r="213" spans="1:48" x14ac:dyDescent="0.2">
      <c r="C213" s="15" t="s">
        <v>7</v>
      </c>
      <c r="E213" s="20">
        <v>1</v>
      </c>
    </row>
    <row r="214" spans="1:48" x14ac:dyDescent="0.2">
      <c r="A214" s="4" t="s">
        <v>76</v>
      </c>
      <c r="B214" s="4" t="s">
        <v>203</v>
      </c>
      <c r="C214" s="4" t="s">
        <v>418</v>
      </c>
      <c r="D214" s="4" t="s">
        <v>524</v>
      </c>
      <c r="E214" s="19">
        <v>6</v>
      </c>
      <c r="F214" s="19">
        <v>0</v>
      </c>
      <c r="G214" s="19">
        <f>E214*AE214</f>
        <v>0</v>
      </c>
      <c r="H214" s="19">
        <f>I214-G214</f>
        <v>0</v>
      </c>
      <c r="I214" s="19">
        <f>E214*F214</f>
        <v>0</v>
      </c>
      <c r="J214" s="19">
        <v>0</v>
      </c>
      <c r="K214" s="19">
        <f>E214*J214</f>
        <v>0</v>
      </c>
      <c r="L214" s="31" t="s">
        <v>548</v>
      </c>
      <c r="P214" s="35">
        <f>IF(AG214="5",I214,0)</f>
        <v>0</v>
      </c>
      <c r="R214" s="35">
        <f>IF(AG214="1",G214,0)</f>
        <v>0</v>
      </c>
      <c r="S214" s="35">
        <f>IF(AG214="1",H214,0)</f>
        <v>0</v>
      </c>
      <c r="T214" s="35">
        <f>IF(AG214="7",G214,0)</f>
        <v>0</v>
      </c>
      <c r="U214" s="35">
        <f>IF(AG214="7",H214,0)</f>
        <v>0</v>
      </c>
      <c r="V214" s="35">
        <f>IF(AG214="2",G214,0)</f>
        <v>0</v>
      </c>
      <c r="W214" s="35">
        <f>IF(AG214="2",H214,0)</f>
        <v>0</v>
      </c>
      <c r="X214" s="35">
        <f>IF(AG214="0",I214,0)</f>
        <v>0</v>
      </c>
      <c r="Y214" s="28"/>
      <c r="Z214" s="19">
        <f>IF(AD214=0,I214,0)</f>
        <v>0</v>
      </c>
      <c r="AA214" s="19">
        <f>IF(AD214=15,I214,0)</f>
        <v>0</v>
      </c>
      <c r="AB214" s="19">
        <f>IF(AD214=21,I214,0)</f>
        <v>0</v>
      </c>
      <c r="AD214" s="35">
        <v>21</v>
      </c>
      <c r="AE214" s="35">
        <f>F214*0.327118644067797</f>
        <v>0</v>
      </c>
      <c r="AF214" s="35">
        <f>F214*(1-0.327118644067797)</f>
        <v>0</v>
      </c>
      <c r="AG214" s="31" t="s">
        <v>7</v>
      </c>
      <c r="AM214" s="35">
        <f>E214*AE214</f>
        <v>0</v>
      </c>
      <c r="AN214" s="35">
        <f>E214*AF214</f>
        <v>0</v>
      </c>
      <c r="AO214" s="36" t="s">
        <v>572</v>
      </c>
      <c r="AP214" s="36" t="s">
        <v>581</v>
      </c>
      <c r="AQ214" s="28" t="s">
        <v>584</v>
      </c>
      <c r="AS214" s="35">
        <f>AM214+AN214</f>
        <v>0</v>
      </c>
      <c r="AT214" s="35">
        <f>F214/(100-AU214)*100</f>
        <v>0</v>
      </c>
      <c r="AU214" s="35">
        <v>0</v>
      </c>
      <c r="AV214" s="35">
        <f>K214</f>
        <v>0</v>
      </c>
    </row>
    <row r="215" spans="1:48" x14ac:dyDescent="0.2">
      <c r="C215" s="15" t="s">
        <v>12</v>
      </c>
      <c r="E215" s="20">
        <v>6</v>
      </c>
    </row>
    <row r="216" spans="1:48" x14ac:dyDescent="0.2">
      <c r="A216" s="4" t="s">
        <v>77</v>
      </c>
      <c r="B216" s="4" t="s">
        <v>204</v>
      </c>
      <c r="C216" s="4" t="s">
        <v>419</v>
      </c>
      <c r="D216" s="4" t="s">
        <v>527</v>
      </c>
      <c r="E216" s="19">
        <v>1</v>
      </c>
      <c r="F216" s="19">
        <v>0</v>
      </c>
      <c r="G216" s="19">
        <f>E216*AE216</f>
        <v>0</v>
      </c>
      <c r="H216" s="19">
        <f>I216-G216</f>
        <v>0</v>
      </c>
      <c r="I216" s="19">
        <f>E216*F216</f>
        <v>0</v>
      </c>
      <c r="J216" s="19">
        <v>2.4000000000000001E-4</v>
      </c>
      <c r="K216" s="19">
        <f>E216*J216</f>
        <v>2.4000000000000001E-4</v>
      </c>
      <c r="L216" s="31" t="s">
        <v>548</v>
      </c>
      <c r="P216" s="35">
        <f>IF(AG216="5",I216,0)</f>
        <v>0</v>
      </c>
      <c r="R216" s="35">
        <f>IF(AG216="1",G216,0)</f>
        <v>0</v>
      </c>
      <c r="S216" s="35">
        <f>IF(AG216="1",H216,0)</f>
        <v>0</v>
      </c>
      <c r="T216" s="35">
        <f>IF(AG216="7",G216,0)</f>
        <v>0</v>
      </c>
      <c r="U216" s="35">
        <f>IF(AG216="7",H216,0)</f>
        <v>0</v>
      </c>
      <c r="V216" s="35">
        <f>IF(AG216="2",G216,0)</f>
        <v>0</v>
      </c>
      <c r="W216" s="35">
        <f>IF(AG216="2",H216,0)</f>
        <v>0</v>
      </c>
      <c r="X216" s="35">
        <f>IF(AG216="0",I216,0)</f>
        <v>0</v>
      </c>
      <c r="Y216" s="28"/>
      <c r="Z216" s="19">
        <f>IF(AD216=0,I216,0)</f>
        <v>0</v>
      </c>
      <c r="AA216" s="19">
        <f>IF(AD216=15,I216,0)</f>
        <v>0</v>
      </c>
      <c r="AB216" s="19">
        <f>IF(AD216=21,I216,0)</f>
        <v>0</v>
      </c>
      <c r="AD216" s="35">
        <v>21</v>
      </c>
      <c r="AE216" s="35">
        <f>F216*0.391422924901186</f>
        <v>0</v>
      </c>
      <c r="AF216" s="35">
        <f>F216*(1-0.391422924901186)</f>
        <v>0</v>
      </c>
      <c r="AG216" s="31" t="s">
        <v>7</v>
      </c>
      <c r="AM216" s="35">
        <f>E216*AE216</f>
        <v>0</v>
      </c>
      <c r="AN216" s="35">
        <f>E216*AF216</f>
        <v>0</v>
      </c>
      <c r="AO216" s="36" t="s">
        <v>572</v>
      </c>
      <c r="AP216" s="36" t="s">
        <v>581</v>
      </c>
      <c r="AQ216" s="28" t="s">
        <v>584</v>
      </c>
      <c r="AS216" s="35">
        <f>AM216+AN216</f>
        <v>0</v>
      </c>
      <c r="AT216" s="35">
        <f>F216/(100-AU216)*100</f>
        <v>0</v>
      </c>
      <c r="AU216" s="35">
        <v>0</v>
      </c>
      <c r="AV216" s="35">
        <f>K216</f>
        <v>2.4000000000000001E-4</v>
      </c>
    </row>
    <row r="217" spans="1:48" x14ac:dyDescent="0.2">
      <c r="C217" s="15" t="s">
        <v>7</v>
      </c>
      <c r="E217" s="20">
        <v>1</v>
      </c>
    </row>
    <row r="218" spans="1:48" ht="25.7" customHeight="1" x14ac:dyDescent="0.2">
      <c r="B218" s="12" t="s">
        <v>133</v>
      </c>
      <c r="C218" s="112" t="s">
        <v>420</v>
      </c>
      <c r="D218" s="113"/>
      <c r="E218" s="113"/>
      <c r="F218" s="113"/>
      <c r="G218" s="113"/>
      <c r="H218" s="113"/>
      <c r="I218" s="113"/>
      <c r="J218" s="113"/>
      <c r="K218" s="113"/>
      <c r="L218" s="113"/>
    </row>
    <row r="219" spans="1:48" x14ac:dyDescent="0.2">
      <c r="A219" s="6" t="s">
        <v>78</v>
      </c>
      <c r="B219" s="6" t="s">
        <v>205</v>
      </c>
      <c r="C219" s="6" t="s">
        <v>421</v>
      </c>
      <c r="D219" s="6" t="s">
        <v>527</v>
      </c>
      <c r="E219" s="21">
        <v>1</v>
      </c>
      <c r="F219" s="21">
        <v>0</v>
      </c>
      <c r="G219" s="21">
        <f>E219*AE219</f>
        <v>0</v>
      </c>
      <c r="H219" s="21">
        <f>I219-G219</f>
        <v>0</v>
      </c>
      <c r="I219" s="21">
        <f>E219*F219</f>
        <v>0</v>
      </c>
      <c r="J219" s="21">
        <v>0</v>
      </c>
      <c r="K219" s="21">
        <f>E219*J219</f>
        <v>0</v>
      </c>
      <c r="L219" s="32" t="s">
        <v>548</v>
      </c>
      <c r="P219" s="35">
        <f>IF(AG219="5",I219,0)</f>
        <v>0</v>
      </c>
      <c r="R219" s="35">
        <f>IF(AG219="1",G219,0)</f>
        <v>0</v>
      </c>
      <c r="S219" s="35">
        <f>IF(AG219="1",H219,0)</f>
        <v>0</v>
      </c>
      <c r="T219" s="35">
        <f>IF(AG219="7",G219,0)</f>
        <v>0</v>
      </c>
      <c r="U219" s="35">
        <f>IF(AG219="7",H219,0)</f>
        <v>0</v>
      </c>
      <c r="V219" s="35">
        <f>IF(AG219="2",G219,0)</f>
        <v>0</v>
      </c>
      <c r="W219" s="35">
        <f>IF(AG219="2",H219,0)</f>
        <v>0</v>
      </c>
      <c r="X219" s="35">
        <f>IF(AG219="0",I219,0)</f>
        <v>0</v>
      </c>
      <c r="Y219" s="28"/>
      <c r="Z219" s="21">
        <f>IF(AD219=0,I219,0)</f>
        <v>0</v>
      </c>
      <c r="AA219" s="21">
        <f>IF(AD219=15,I219,0)</f>
        <v>0</v>
      </c>
      <c r="AB219" s="21">
        <f>IF(AD219=21,I219,0)</f>
        <v>0</v>
      </c>
      <c r="AD219" s="35">
        <v>21</v>
      </c>
      <c r="AE219" s="35">
        <f>F219*1</f>
        <v>0</v>
      </c>
      <c r="AF219" s="35">
        <f>F219*(1-1)</f>
        <v>0</v>
      </c>
      <c r="AG219" s="32" t="s">
        <v>7</v>
      </c>
      <c r="AM219" s="35">
        <f>E219*AE219</f>
        <v>0</v>
      </c>
      <c r="AN219" s="35">
        <f>E219*AF219</f>
        <v>0</v>
      </c>
      <c r="AO219" s="36" t="s">
        <v>572</v>
      </c>
      <c r="AP219" s="36" t="s">
        <v>581</v>
      </c>
      <c r="AQ219" s="28" t="s">
        <v>584</v>
      </c>
      <c r="AS219" s="35">
        <f>AM219+AN219</f>
        <v>0</v>
      </c>
      <c r="AT219" s="35">
        <f>F219/(100-AU219)*100</f>
        <v>0</v>
      </c>
      <c r="AU219" s="35">
        <v>0</v>
      </c>
      <c r="AV219" s="35">
        <f>K219</f>
        <v>0</v>
      </c>
    </row>
    <row r="220" spans="1:48" x14ac:dyDescent="0.2">
      <c r="C220" s="15" t="s">
        <v>7</v>
      </c>
      <c r="E220" s="20">
        <v>1</v>
      </c>
    </row>
    <row r="221" spans="1:48" x14ac:dyDescent="0.2">
      <c r="B221" s="12" t="s">
        <v>133</v>
      </c>
      <c r="C221" s="112" t="s">
        <v>422</v>
      </c>
      <c r="D221" s="113"/>
      <c r="E221" s="113"/>
      <c r="F221" s="113"/>
      <c r="G221" s="113"/>
      <c r="H221" s="113"/>
      <c r="I221" s="113"/>
      <c r="J221" s="113"/>
      <c r="K221" s="113"/>
      <c r="L221" s="113"/>
    </row>
    <row r="222" spans="1:48" x14ac:dyDescent="0.2">
      <c r="A222" s="4" t="s">
        <v>79</v>
      </c>
      <c r="B222" s="4" t="s">
        <v>206</v>
      </c>
      <c r="C222" s="4" t="s">
        <v>423</v>
      </c>
      <c r="D222" s="4" t="s">
        <v>524</v>
      </c>
      <c r="E222" s="19">
        <v>12</v>
      </c>
      <c r="F222" s="19">
        <v>0</v>
      </c>
      <c r="G222" s="19">
        <f>E222*AE222</f>
        <v>0</v>
      </c>
      <c r="H222" s="19">
        <f>I222-G222</f>
        <v>0</v>
      </c>
      <c r="I222" s="19">
        <f>E222*F222</f>
        <v>0</v>
      </c>
      <c r="J222" s="19">
        <v>5.0000000000000002E-5</v>
      </c>
      <c r="K222" s="19">
        <f>E222*J222</f>
        <v>6.0000000000000006E-4</v>
      </c>
      <c r="L222" s="31" t="s">
        <v>548</v>
      </c>
      <c r="P222" s="35">
        <f>IF(AG222="5",I222,0)</f>
        <v>0</v>
      </c>
      <c r="R222" s="35">
        <f>IF(AG222="1",G222,0)</f>
        <v>0</v>
      </c>
      <c r="S222" s="35">
        <f>IF(AG222="1",H222,0)</f>
        <v>0</v>
      </c>
      <c r="T222" s="35">
        <f>IF(AG222="7",G222,0)</f>
        <v>0</v>
      </c>
      <c r="U222" s="35">
        <f>IF(AG222="7",H222,0)</f>
        <v>0</v>
      </c>
      <c r="V222" s="35">
        <f>IF(AG222="2",G222,0)</f>
        <v>0</v>
      </c>
      <c r="W222" s="35">
        <f>IF(AG222="2",H222,0)</f>
        <v>0</v>
      </c>
      <c r="X222" s="35">
        <f>IF(AG222="0",I222,0)</f>
        <v>0</v>
      </c>
      <c r="Y222" s="28"/>
      <c r="Z222" s="19">
        <f>IF(AD222=0,I222,0)</f>
        <v>0</v>
      </c>
      <c r="AA222" s="19">
        <f>IF(AD222=15,I222,0)</f>
        <v>0</v>
      </c>
      <c r="AB222" s="19">
        <f>IF(AD222=21,I222,0)</f>
        <v>0</v>
      </c>
      <c r="AD222" s="35">
        <v>21</v>
      </c>
      <c r="AE222" s="35">
        <f>F222*0.463678516228748</f>
        <v>0</v>
      </c>
      <c r="AF222" s="35">
        <f>F222*(1-0.463678516228748)</f>
        <v>0</v>
      </c>
      <c r="AG222" s="31" t="s">
        <v>7</v>
      </c>
      <c r="AM222" s="35">
        <f>E222*AE222</f>
        <v>0</v>
      </c>
      <c r="AN222" s="35">
        <f>E222*AF222</f>
        <v>0</v>
      </c>
      <c r="AO222" s="36" t="s">
        <v>572</v>
      </c>
      <c r="AP222" s="36" t="s">
        <v>581</v>
      </c>
      <c r="AQ222" s="28" t="s">
        <v>584</v>
      </c>
      <c r="AS222" s="35">
        <f>AM222+AN222</f>
        <v>0</v>
      </c>
      <c r="AT222" s="35">
        <f>F222/(100-AU222)*100</f>
        <v>0</v>
      </c>
      <c r="AU222" s="35">
        <v>0</v>
      </c>
      <c r="AV222" s="35">
        <f>K222</f>
        <v>6.0000000000000006E-4</v>
      </c>
    </row>
    <row r="223" spans="1:48" x14ac:dyDescent="0.2">
      <c r="C223" s="15" t="s">
        <v>424</v>
      </c>
      <c r="E223" s="20">
        <v>12</v>
      </c>
    </row>
    <row r="224" spans="1:48" x14ac:dyDescent="0.2">
      <c r="A224" s="4" t="s">
        <v>80</v>
      </c>
      <c r="B224" s="4" t="s">
        <v>207</v>
      </c>
      <c r="C224" s="4" t="s">
        <v>425</v>
      </c>
      <c r="D224" s="4" t="s">
        <v>524</v>
      </c>
      <c r="E224" s="19">
        <v>6</v>
      </c>
      <c r="F224" s="19">
        <v>0</v>
      </c>
      <c r="G224" s="19">
        <f>E224*AE224</f>
        <v>0</v>
      </c>
      <c r="H224" s="19">
        <f>I224-G224</f>
        <v>0</v>
      </c>
      <c r="I224" s="19">
        <f>E224*F224</f>
        <v>0</v>
      </c>
      <c r="J224" s="19">
        <v>0</v>
      </c>
      <c r="K224" s="19">
        <f>E224*J224</f>
        <v>0</v>
      </c>
      <c r="L224" s="31" t="s">
        <v>548</v>
      </c>
      <c r="P224" s="35">
        <f>IF(AG224="5",I224,0)</f>
        <v>0</v>
      </c>
      <c r="R224" s="35">
        <f>IF(AG224="1",G224,0)</f>
        <v>0</v>
      </c>
      <c r="S224" s="35">
        <f>IF(AG224="1",H224,0)</f>
        <v>0</v>
      </c>
      <c r="T224" s="35">
        <f>IF(AG224="7",G224,0)</f>
        <v>0</v>
      </c>
      <c r="U224" s="35">
        <f>IF(AG224="7",H224,0)</f>
        <v>0</v>
      </c>
      <c r="V224" s="35">
        <f>IF(AG224="2",G224,0)</f>
        <v>0</v>
      </c>
      <c r="W224" s="35">
        <f>IF(AG224="2",H224,0)</f>
        <v>0</v>
      </c>
      <c r="X224" s="35">
        <f>IF(AG224="0",I224,0)</f>
        <v>0</v>
      </c>
      <c r="Y224" s="28"/>
      <c r="Z224" s="19">
        <f>IF(AD224=0,I224,0)</f>
        <v>0</v>
      </c>
      <c r="AA224" s="19">
        <f>IF(AD224=15,I224,0)</f>
        <v>0</v>
      </c>
      <c r="AB224" s="19">
        <f>IF(AD224=21,I224,0)</f>
        <v>0</v>
      </c>
      <c r="AD224" s="35">
        <v>21</v>
      </c>
      <c r="AE224" s="35">
        <f>F224*0.0638107987505578</f>
        <v>0</v>
      </c>
      <c r="AF224" s="35">
        <f>F224*(1-0.0638107987505578)</f>
        <v>0</v>
      </c>
      <c r="AG224" s="31" t="s">
        <v>7</v>
      </c>
      <c r="AM224" s="35">
        <f>E224*AE224</f>
        <v>0</v>
      </c>
      <c r="AN224" s="35">
        <f>E224*AF224</f>
        <v>0</v>
      </c>
      <c r="AO224" s="36" t="s">
        <v>572</v>
      </c>
      <c r="AP224" s="36" t="s">
        <v>581</v>
      </c>
      <c r="AQ224" s="28" t="s">
        <v>584</v>
      </c>
      <c r="AS224" s="35">
        <f>AM224+AN224</f>
        <v>0</v>
      </c>
      <c r="AT224" s="35">
        <f>F224/(100-AU224)*100</f>
        <v>0</v>
      </c>
      <c r="AU224" s="35">
        <v>0</v>
      </c>
      <c r="AV224" s="35">
        <f>K224</f>
        <v>0</v>
      </c>
    </row>
    <row r="225" spans="1:48" x14ac:dyDescent="0.2">
      <c r="C225" s="15" t="s">
        <v>12</v>
      </c>
      <c r="E225" s="20">
        <v>6</v>
      </c>
    </row>
    <row r="226" spans="1:48" x14ac:dyDescent="0.2">
      <c r="B226" s="12" t="s">
        <v>133</v>
      </c>
      <c r="C226" s="112" t="s">
        <v>426</v>
      </c>
      <c r="D226" s="113"/>
      <c r="E226" s="113"/>
      <c r="F226" s="113"/>
      <c r="G226" s="113"/>
      <c r="H226" s="113"/>
      <c r="I226" s="113"/>
      <c r="J226" s="113"/>
      <c r="K226" s="113"/>
      <c r="L226" s="113"/>
    </row>
    <row r="227" spans="1:48" x14ac:dyDescent="0.2">
      <c r="A227" s="4" t="s">
        <v>81</v>
      </c>
      <c r="B227" s="4" t="s">
        <v>208</v>
      </c>
      <c r="C227" s="4" t="s">
        <v>427</v>
      </c>
      <c r="D227" s="4" t="s">
        <v>527</v>
      </c>
      <c r="E227" s="19">
        <v>2</v>
      </c>
      <c r="F227" s="19">
        <v>0</v>
      </c>
      <c r="G227" s="19">
        <f>E227*AE227</f>
        <v>0</v>
      </c>
      <c r="H227" s="19">
        <f>I227-G227</f>
        <v>0</v>
      </c>
      <c r="I227" s="19">
        <f>E227*F227</f>
        <v>0</v>
      </c>
      <c r="J227" s="19">
        <v>0.14494000000000001</v>
      </c>
      <c r="K227" s="19">
        <f>E227*J227</f>
        <v>0.28988000000000003</v>
      </c>
      <c r="L227" s="31" t="s">
        <v>548</v>
      </c>
      <c r="P227" s="35">
        <f>IF(AG227="5",I227,0)</f>
        <v>0</v>
      </c>
      <c r="R227" s="35">
        <f>IF(AG227="1",G227,0)</f>
        <v>0</v>
      </c>
      <c r="S227" s="35">
        <f>IF(AG227="1",H227,0)</f>
        <v>0</v>
      </c>
      <c r="T227" s="35">
        <f>IF(AG227="7",G227,0)</f>
        <v>0</v>
      </c>
      <c r="U227" s="35">
        <f>IF(AG227="7",H227,0)</f>
        <v>0</v>
      </c>
      <c r="V227" s="35">
        <f>IF(AG227="2",G227,0)</f>
        <v>0</v>
      </c>
      <c r="W227" s="35">
        <f>IF(AG227="2",H227,0)</f>
        <v>0</v>
      </c>
      <c r="X227" s="35">
        <f>IF(AG227="0",I227,0)</f>
        <v>0</v>
      </c>
      <c r="Y227" s="28"/>
      <c r="Z227" s="19">
        <f>IF(AD227=0,I227,0)</f>
        <v>0</v>
      </c>
      <c r="AA227" s="19">
        <f>IF(AD227=15,I227,0)</f>
        <v>0</v>
      </c>
      <c r="AB227" s="19">
        <f>IF(AD227=21,I227,0)</f>
        <v>0</v>
      </c>
      <c r="AD227" s="35">
        <v>21</v>
      </c>
      <c r="AE227" s="35">
        <f>F227*0.0631745181720318</f>
        <v>0</v>
      </c>
      <c r="AF227" s="35">
        <f>F227*(1-0.0631745181720318)</f>
        <v>0</v>
      </c>
      <c r="AG227" s="31" t="s">
        <v>7</v>
      </c>
      <c r="AM227" s="35">
        <f>E227*AE227</f>
        <v>0</v>
      </c>
      <c r="AN227" s="35">
        <f>E227*AF227</f>
        <v>0</v>
      </c>
      <c r="AO227" s="36" t="s">
        <v>572</v>
      </c>
      <c r="AP227" s="36" t="s">
        <v>581</v>
      </c>
      <c r="AQ227" s="28" t="s">
        <v>584</v>
      </c>
      <c r="AS227" s="35">
        <f>AM227+AN227</f>
        <v>0</v>
      </c>
      <c r="AT227" s="35">
        <f>F227/(100-AU227)*100</f>
        <v>0</v>
      </c>
      <c r="AU227" s="35">
        <v>0</v>
      </c>
      <c r="AV227" s="35">
        <f>K227</f>
        <v>0.28988000000000003</v>
      </c>
    </row>
    <row r="228" spans="1:48" x14ac:dyDescent="0.2">
      <c r="C228" s="15" t="s">
        <v>8</v>
      </c>
      <c r="E228" s="20">
        <v>2</v>
      </c>
    </row>
    <row r="229" spans="1:48" ht="51.4" customHeight="1" x14ac:dyDescent="0.2">
      <c r="B229" s="12" t="s">
        <v>133</v>
      </c>
      <c r="C229" s="112" t="s">
        <v>428</v>
      </c>
      <c r="D229" s="113"/>
      <c r="E229" s="113"/>
      <c r="F229" s="113"/>
      <c r="G229" s="113"/>
      <c r="H229" s="113"/>
      <c r="I229" s="113"/>
      <c r="J229" s="113"/>
      <c r="K229" s="113"/>
      <c r="L229" s="113"/>
    </row>
    <row r="230" spans="1:48" x14ac:dyDescent="0.2">
      <c r="A230" s="6" t="s">
        <v>82</v>
      </c>
      <c r="B230" s="6" t="s">
        <v>209</v>
      </c>
      <c r="C230" s="6" t="s">
        <v>429</v>
      </c>
      <c r="D230" s="6" t="s">
        <v>527</v>
      </c>
      <c r="E230" s="21">
        <v>2</v>
      </c>
      <c r="F230" s="21">
        <v>0</v>
      </c>
      <c r="G230" s="21">
        <f>E230*AE230</f>
        <v>0</v>
      </c>
      <c r="H230" s="21">
        <f>I230-G230</f>
        <v>0</v>
      </c>
      <c r="I230" s="21">
        <f>E230*F230</f>
        <v>0</v>
      </c>
      <c r="J230" s="21">
        <v>7.0000000000000007E-2</v>
      </c>
      <c r="K230" s="21">
        <f>E230*J230</f>
        <v>0.14000000000000001</v>
      </c>
      <c r="L230" s="32" t="s">
        <v>548</v>
      </c>
      <c r="P230" s="35">
        <f>IF(AG230="5",I230,0)</f>
        <v>0</v>
      </c>
      <c r="R230" s="35">
        <f>IF(AG230="1",G230,0)</f>
        <v>0</v>
      </c>
      <c r="S230" s="35">
        <f>IF(AG230="1",H230,0)</f>
        <v>0</v>
      </c>
      <c r="T230" s="35">
        <f>IF(AG230="7",G230,0)</f>
        <v>0</v>
      </c>
      <c r="U230" s="35">
        <f>IF(AG230="7",H230,0)</f>
        <v>0</v>
      </c>
      <c r="V230" s="35">
        <f>IF(AG230="2",G230,0)</f>
        <v>0</v>
      </c>
      <c r="W230" s="35">
        <f>IF(AG230="2",H230,0)</f>
        <v>0</v>
      </c>
      <c r="X230" s="35">
        <f>IF(AG230="0",I230,0)</f>
        <v>0</v>
      </c>
      <c r="Y230" s="28"/>
      <c r="Z230" s="21">
        <f>IF(AD230=0,I230,0)</f>
        <v>0</v>
      </c>
      <c r="AA230" s="21">
        <f>IF(AD230=15,I230,0)</f>
        <v>0</v>
      </c>
      <c r="AB230" s="21">
        <f>IF(AD230=21,I230,0)</f>
        <v>0</v>
      </c>
      <c r="AD230" s="35">
        <v>21</v>
      </c>
      <c r="AE230" s="35">
        <f>F230*1</f>
        <v>0</v>
      </c>
      <c r="AF230" s="35">
        <f>F230*(1-1)</f>
        <v>0</v>
      </c>
      <c r="AG230" s="32" t="s">
        <v>7</v>
      </c>
      <c r="AM230" s="35">
        <f>E230*AE230</f>
        <v>0</v>
      </c>
      <c r="AN230" s="35">
        <f>E230*AF230</f>
        <v>0</v>
      </c>
      <c r="AO230" s="36" t="s">
        <v>572</v>
      </c>
      <c r="AP230" s="36" t="s">
        <v>581</v>
      </c>
      <c r="AQ230" s="28" t="s">
        <v>584</v>
      </c>
      <c r="AS230" s="35">
        <f>AM230+AN230</f>
        <v>0</v>
      </c>
      <c r="AT230" s="35">
        <f>F230/(100-AU230)*100</f>
        <v>0</v>
      </c>
      <c r="AU230" s="35">
        <v>0</v>
      </c>
      <c r="AV230" s="35">
        <f>K230</f>
        <v>0.14000000000000001</v>
      </c>
    </row>
    <row r="231" spans="1:48" x14ac:dyDescent="0.2">
      <c r="C231" s="15" t="s">
        <v>8</v>
      </c>
      <c r="E231" s="20">
        <v>2</v>
      </c>
    </row>
    <row r="232" spans="1:48" x14ac:dyDescent="0.2">
      <c r="A232" s="6" t="s">
        <v>83</v>
      </c>
      <c r="B232" s="6" t="s">
        <v>210</v>
      </c>
      <c r="C232" s="6" t="s">
        <v>430</v>
      </c>
      <c r="D232" s="6" t="s">
        <v>527</v>
      </c>
      <c r="E232" s="21">
        <v>2</v>
      </c>
      <c r="F232" s="21">
        <v>0</v>
      </c>
      <c r="G232" s="21">
        <f>E232*AE232</f>
        <v>0</v>
      </c>
      <c r="H232" s="21">
        <f>I232-G232</f>
        <v>0</v>
      </c>
      <c r="I232" s="21">
        <f>E232*F232</f>
        <v>0</v>
      </c>
      <c r="J232" s="21">
        <v>7.5999999999999998E-2</v>
      </c>
      <c r="K232" s="21">
        <f>E232*J232</f>
        <v>0.152</v>
      </c>
      <c r="L232" s="32" t="s">
        <v>548</v>
      </c>
      <c r="P232" s="35">
        <f>IF(AG232="5",I232,0)</f>
        <v>0</v>
      </c>
      <c r="R232" s="35">
        <f>IF(AG232="1",G232,0)</f>
        <v>0</v>
      </c>
      <c r="S232" s="35">
        <f>IF(AG232="1",H232,0)</f>
        <v>0</v>
      </c>
      <c r="T232" s="35">
        <f>IF(AG232="7",G232,0)</f>
        <v>0</v>
      </c>
      <c r="U232" s="35">
        <f>IF(AG232="7",H232,0)</f>
        <v>0</v>
      </c>
      <c r="V232" s="35">
        <f>IF(AG232="2",G232,0)</f>
        <v>0</v>
      </c>
      <c r="W232" s="35">
        <f>IF(AG232="2",H232,0)</f>
        <v>0</v>
      </c>
      <c r="X232" s="35">
        <f>IF(AG232="0",I232,0)</f>
        <v>0</v>
      </c>
      <c r="Y232" s="28"/>
      <c r="Z232" s="21">
        <f>IF(AD232=0,I232,0)</f>
        <v>0</v>
      </c>
      <c r="AA232" s="21">
        <f>IF(AD232=15,I232,0)</f>
        <v>0</v>
      </c>
      <c r="AB232" s="21">
        <f>IF(AD232=21,I232,0)</f>
        <v>0</v>
      </c>
      <c r="AD232" s="35">
        <v>21</v>
      </c>
      <c r="AE232" s="35">
        <f>F232*1</f>
        <v>0</v>
      </c>
      <c r="AF232" s="35">
        <f>F232*(1-1)</f>
        <v>0</v>
      </c>
      <c r="AG232" s="32" t="s">
        <v>7</v>
      </c>
      <c r="AM232" s="35">
        <f>E232*AE232</f>
        <v>0</v>
      </c>
      <c r="AN232" s="35">
        <f>E232*AF232</f>
        <v>0</v>
      </c>
      <c r="AO232" s="36" t="s">
        <v>572</v>
      </c>
      <c r="AP232" s="36" t="s">
        <v>581</v>
      </c>
      <c r="AQ232" s="28" t="s">
        <v>584</v>
      </c>
      <c r="AS232" s="35">
        <f>AM232+AN232</f>
        <v>0</v>
      </c>
      <c r="AT232" s="35">
        <f>F232/(100-AU232)*100</f>
        <v>0</v>
      </c>
      <c r="AU232" s="35">
        <v>0</v>
      </c>
      <c r="AV232" s="35">
        <f>K232</f>
        <v>0.152</v>
      </c>
    </row>
    <row r="233" spans="1:48" x14ac:dyDescent="0.2">
      <c r="C233" s="15" t="s">
        <v>8</v>
      </c>
      <c r="E233" s="20">
        <v>2</v>
      </c>
    </row>
    <row r="234" spans="1:48" x14ac:dyDescent="0.2">
      <c r="A234" s="6" t="s">
        <v>84</v>
      </c>
      <c r="B234" s="6" t="s">
        <v>211</v>
      </c>
      <c r="C234" s="6" t="s">
        <v>431</v>
      </c>
      <c r="D234" s="6" t="s">
        <v>527</v>
      </c>
      <c r="E234" s="21">
        <v>2</v>
      </c>
      <c r="F234" s="21">
        <v>0</v>
      </c>
      <c r="G234" s="21">
        <f>E234*AE234</f>
        <v>0</v>
      </c>
      <c r="H234" s="21">
        <f>I234-G234</f>
        <v>0</v>
      </c>
      <c r="I234" s="21">
        <f>E234*F234</f>
        <v>0</v>
      </c>
      <c r="J234" s="21">
        <v>0.155</v>
      </c>
      <c r="K234" s="21">
        <f>E234*J234</f>
        <v>0.31</v>
      </c>
      <c r="L234" s="32" t="s">
        <v>548</v>
      </c>
      <c r="P234" s="35">
        <f>IF(AG234="5",I234,0)</f>
        <v>0</v>
      </c>
      <c r="R234" s="35">
        <f>IF(AG234="1",G234,0)</f>
        <v>0</v>
      </c>
      <c r="S234" s="35">
        <f>IF(AG234="1",H234,0)</f>
        <v>0</v>
      </c>
      <c r="T234" s="35">
        <f>IF(AG234="7",G234,0)</f>
        <v>0</v>
      </c>
      <c r="U234" s="35">
        <f>IF(AG234="7",H234,0)</f>
        <v>0</v>
      </c>
      <c r="V234" s="35">
        <f>IF(AG234="2",G234,0)</f>
        <v>0</v>
      </c>
      <c r="W234" s="35">
        <f>IF(AG234="2",H234,0)</f>
        <v>0</v>
      </c>
      <c r="X234" s="35">
        <f>IF(AG234="0",I234,0)</f>
        <v>0</v>
      </c>
      <c r="Y234" s="28"/>
      <c r="Z234" s="21">
        <f>IF(AD234=0,I234,0)</f>
        <v>0</v>
      </c>
      <c r="AA234" s="21">
        <f>IF(AD234=15,I234,0)</f>
        <v>0</v>
      </c>
      <c r="AB234" s="21">
        <f>IF(AD234=21,I234,0)</f>
        <v>0</v>
      </c>
      <c r="AD234" s="35">
        <v>21</v>
      </c>
      <c r="AE234" s="35">
        <f>F234*1</f>
        <v>0</v>
      </c>
      <c r="AF234" s="35">
        <f>F234*(1-1)</f>
        <v>0</v>
      </c>
      <c r="AG234" s="32" t="s">
        <v>7</v>
      </c>
      <c r="AM234" s="35">
        <f>E234*AE234</f>
        <v>0</v>
      </c>
      <c r="AN234" s="35">
        <f>E234*AF234</f>
        <v>0</v>
      </c>
      <c r="AO234" s="36" t="s">
        <v>572</v>
      </c>
      <c r="AP234" s="36" t="s">
        <v>581</v>
      </c>
      <c r="AQ234" s="28" t="s">
        <v>584</v>
      </c>
      <c r="AS234" s="35">
        <f>AM234+AN234</f>
        <v>0</v>
      </c>
      <c r="AT234" s="35">
        <f>F234/(100-AU234)*100</f>
        <v>0</v>
      </c>
      <c r="AU234" s="35">
        <v>0</v>
      </c>
      <c r="AV234" s="35">
        <f>K234</f>
        <v>0.31</v>
      </c>
    </row>
    <row r="235" spans="1:48" x14ac:dyDescent="0.2">
      <c r="C235" s="15" t="s">
        <v>8</v>
      </c>
      <c r="E235" s="20">
        <v>2</v>
      </c>
    </row>
    <row r="236" spans="1:48" x14ac:dyDescent="0.2">
      <c r="A236" s="6" t="s">
        <v>85</v>
      </c>
      <c r="B236" s="6" t="s">
        <v>212</v>
      </c>
      <c r="C236" s="6" t="s">
        <v>432</v>
      </c>
      <c r="D236" s="6" t="s">
        <v>527</v>
      </c>
      <c r="E236" s="21">
        <v>2</v>
      </c>
      <c r="F236" s="21">
        <v>0</v>
      </c>
      <c r="G236" s="21">
        <f>E236*AE236</f>
        <v>0</v>
      </c>
      <c r="H236" s="21">
        <f>I236-G236</f>
        <v>0</v>
      </c>
      <c r="I236" s="21">
        <f>E236*F236</f>
        <v>0</v>
      </c>
      <c r="J236" s="21">
        <v>0.17</v>
      </c>
      <c r="K236" s="21">
        <f>E236*J236</f>
        <v>0.34</v>
      </c>
      <c r="L236" s="32" t="s">
        <v>548</v>
      </c>
      <c r="P236" s="35">
        <f>IF(AG236="5",I236,0)</f>
        <v>0</v>
      </c>
      <c r="R236" s="35">
        <f>IF(AG236="1",G236,0)</f>
        <v>0</v>
      </c>
      <c r="S236" s="35">
        <f>IF(AG236="1",H236,0)</f>
        <v>0</v>
      </c>
      <c r="T236" s="35">
        <f>IF(AG236="7",G236,0)</f>
        <v>0</v>
      </c>
      <c r="U236" s="35">
        <f>IF(AG236="7",H236,0)</f>
        <v>0</v>
      </c>
      <c r="V236" s="35">
        <f>IF(AG236="2",G236,0)</f>
        <v>0</v>
      </c>
      <c r="W236" s="35">
        <f>IF(AG236="2",H236,0)</f>
        <v>0</v>
      </c>
      <c r="X236" s="35">
        <f>IF(AG236="0",I236,0)</f>
        <v>0</v>
      </c>
      <c r="Y236" s="28"/>
      <c r="Z236" s="21">
        <f>IF(AD236=0,I236,0)</f>
        <v>0</v>
      </c>
      <c r="AA236" s="21">
        <f>IF(AD236=15,I236,0)</f>
        <v>0</v>
      </c>
      <c r="AB236" s="21">
        <f>IF(AD236=21,I236,0)</f>
        <v>0</v>
      </c>
      <c r="AD236" s="35">
        <v>21</v>
      </c>
      <c r="AE236" s="35">
        <f>F236*1</f>
        <v>0</v>
      </c>
      <c r="AF236" s="35">
        <f>F236*(1-1)</f>
        <v>0</v>
      </c>
      <c r="AG236" s="32" t="s">
        <v>7</v>
      </c>
      <c r="AM236" s="35">
        <f>E236*AE236</f>
        <v>0</v>
      </c>
      <c r="AN236" s="35">
        <f>E236*AF236</f>
        <v>0</v>
      </c>
      <c r="AO236" s="36" t="s">
        <v>572</v>
      </c>
      <c r="AP236" s="36" t="s">
        <v>581</v>
      </c>
      <c r="AQ236" s="28" t="s">
        <v>584</v>
      </c>
      <c r="AS236" s="35">
        <f>AM236+AN236</f>
        <v>0</v>
      </c>
      <c r="AT236" s="35">
        <f>F236/(100-AU236)*100</f>
        <v>0</v>
      </c>
      <c r="AU236" s="35">
        <v>0</v>
      </c>
      <c r="AV236" s="35">
        <f>K236</f>
        <v>0.34</v>
      </c>
    </row>
    <row r="237" spans="1:48" x14ac:dyDescent="0.2">
      <c r="C237" s="15" t="s">
        <v>8</v>
      </c>
      <c r="E237" s="20">
        <v>2</v>
      </c>
    </row>
    <row r="238" spans="1:48" x14ac:dyDescent="0.2">
      <c r="A238" s="6" t="s">
        <v>86</v>
      </c>
      <c r="B238" s="6" t="s">
        <v>213</v>
      </c>
      <c r="C238" s="6" t="s">
        <v>433</v>
      </c>
      <c r="D238" s="6" t="s">
        <v>527</v>
      </c>
      <c r="E238" s="21">
        <v>2</v>
      </c>
      <c r="F238" s="21">
        <v>0</v>
      </c>
      <c r="G238" s="21">
        <f>E238*AE238</f>
        <v>0</v>
      </c>
      <c r="H238" s="21">
        <f>I238-G238</f>
        <v>0</v>
      </c>
      <c r="I238" s="21">
        <f>E238*F238</f>
        <v>0</v>
      </c>
      <c r="J238" s="21">
        <v>0.28000000000000003</v>
      </c>
      <c r="K238" s="21">
        <f>E238*J238</f>
        <v>0.56000000000000005</v>
      </c>
      <c r="L238" s="32" t="s">
        <v>548</v>
      </c>
      <c r="P238" s="35">
        <f>IF(AG238="5",I238,0)</f>
        <v>0</v>
      </c>
      <c r="R238" s="35">
        <f>IF(AG238="1",G238,0)</f>
        <v>0</v>
      </c>
      <c r="S238" s="35">
        <f>IF(AG238="1",H238,0)</f>
        <v>0</v>
      </c>
      <c r="T238" s="35">
        <f>IF(AG238="7",G238,0)</f>
        <v>0</v>
      </c>
      <c r="U238" s="35">
        <f>IF(AG238="7",H238,0)</f>
        <v>0</v>
      </c>
      <c r="V238" s="35">
        <f>IF(AG238="2",G238,0)</f>
        <v>0</v>
      </c>
      <c r="W238" s="35">
        <f>IF(AG238="2",H238,0)</f>
        <v>0</v>
      </c>
      <c r="X238" s="35">
        <f>IF(AG238="0",I238,0)</f>
        <v>0</v>
      </c>
      <c r="Y238" s="28"/>
      <c r="Z238" s="21">
        <f>IF(AD238=0,I238,0)</f>
        <v>0</v>
      </c>
      <c r="AA238" s="21">
        <f>IF(AD238=15,I238,0)</f>
        <v>0</v>
      </c>
      <c r="AB238" s="21">
        <f>IF(AD238=21,I238,0)</f>
        <v>0</v>
      </c>
      <c r="AD238" s="35">
        <v>21</v>
      </c>
      <c r="AE238" s="35">
        <f>F238*1</f>
        <v>0</v>
      </c>
      <c r="AF238" s="35">
        <f>F238*(1-1)</f>
        <v>0</v>
      </c>
      <c r="AG238" s="32" t="s">
        <v>7</v>
      </c>
      <c r="AM238" s="35">
        <f>E238*AE238</f>
        <v>0</v>
      </c>
      <c r="AN238" s="35">
        <f>E238*AF238</f>
        <v>0</v>
      </c>
      <c r="AO238" s="36" t="s">
        <v>572</v>
      </c>
      <c r="AP238" s="36" t="s">
        <v>581</v>
      </c>
      <c r="AQ238" s="28" t="s">
        <v>584</v>
      </c>
      <c r="AS238" s="35">
        <f>AM238+AN238</f>
        <v>0</v>
      </c>
      <c r="AT238" s="35">
        <f>F238/(100-AU238)*100</f>
        <v>0</v>
      </c>
      <c r="AU238" s="35">
        <v>0</v>
      </c>
      <c r="AV238" s="35">
        <f>K238</f>
        <v>0.56000000000000005</v>
      </c>
    </row>
    <row r="239" spans="1:48" x14ac:dyDescent="0.2">
      <c r="C239" s="15" t="s">
        <v>8</v>
      </c>
      <c r="E239" s="20">
        <v>2</v>
      </c>
    </row>
    <row r="240" spans="1:48" x14ac:dyDescent="0.2">
      <c r="A240" s="4" t="s">
        <v>87</v>
      </c>
      <c r="B240" s="4" t="s">
        <v>214</v>
      </c>
      <c r="C240" s="4" t="s">
        <v>434</v>
      </c>
      <c r="D240" s="4" t="s">
        <v>527</v>
      </c>
      <c r="E240" s="19">
        <v>2</v>
      </c>
      <c r="F240" s="19">
        <v>0</v>
      </c>
      <c r="G240" s="19">
        <f>E240*AE240</f>
        <v>0</v>
      </c>
      <c r="H240" s="19">
        <f>I240-G240</f>
        <v>0</v>
      </c>
      <c r="I240" s="19">
        <f>E240*F240</f>
        <v>0</v>
      </c>
      <c r="J240" s="19">
        <v>9.3600000000000003E-3</v>
      </c>
      <c r="K240" s="19">
        <f>E240*J240</f>
        <v>1.8720000000000001E-2</v>
      </c>
      <c r="L240" s="31" t="s">
        <v>548</v>
      </c>
      <c r="P240" s="35">
        <f>IF(AG240="5",I240,0)</f>
        <v>0</v>
      </c>
      <c r="R240" s="35">
        <f>IF(AG240="1",G240,0)</f>
        <v>0</v>
      </c>
      <c r="S240" s="35">
        <f>IF(AG240="1",H240,0)</f>
        <v>0</v>
      </c>
      <c r="T240" s="35">
        <f>IF(AG240="7",G240,0)</f>
        <v>0</v>
      </c>
      <c r="U240" s="35">
        <f>IF(AG240="7",H240,0)</f>
        <v>0</v>
      </c>
      <c r="V240" s="35">
        <f>IF(AG240="2",G240,0)</f>
        <v>0</v>
      </c>
      <c r="W240" s="35">
        <f>IF(AG240="2",H240,0)</f>
        <v>0</v>
      </c>
      <c r="X240" s="35">
        <f>IF(AG240="0",I240,0)</f>
        <v>0</v>
      </c>
      <c r="Y240" s="28"/>
      <c r="Z240" s="19">
        <f>IF(AD240=0,I240,0)</f>
        <v>0</v>
      </c>
      <c r="AA240" s="19">
        <f>IF(AD240=15,I240,0)</f>
        <v>0</v>
      </c>
      <c r="AB240" s="19">
        <f>IF(AD240=21,I240,0)</f>
        <v>0</v>
      </c>
      <c r="AD240" s="35">
        <v>21</v>
      </c>
      <c r="AE240" s="35">
        <f>F240*0.0155714467058774</f>
        <v>0</v>
      </c>
      <c r="AF240" s="35">
        <f>F240*(1-0.0155714467058774)</f>
        <v>0</v>
      </c>
      <c r="AG240" s="31" t="s">
        <v>7</v>
      </c>
      <c r="AM240" s="35">
        <f>E240*AE240</f>
        <v>0</v>
      </c>
      <c r="AN240" s="35">
        <f>E240*AF240</f>
        <v>0</v>
      </c>
      <c r="AO240" s="36" t="s">
        <v>572</v>
      </c>
      <c r="AP240" s="36" t="s">
        <v>581</v>
      </c>
      <c r="AQ240" s="28" t="s">
        <v>584</v>
      </c>
      <c r="AS240" s="35">
        <f>AM240+AN240</f>
        <v>0</v>
      </c>
      <c r="AT240" s="35">
        <f>F240/(100-AU240)*100</f>
        <v>0</v>
      </c>
      <c r="AU240" s="35">
        <v>0</v>
      </c>
      <c r="AV240" s="35">
        <f>K240</f>
        <v>1.8720000000000001E-2</v>
      </c>
    </row>
    <row r="241" spans="1:48" x14ac:dyDescent="0.2">
      <c r="C241" s="15" t="s">
        <v>8</v>
      </c>
      <c r="E241" s="20">
        <v>2</v>
      </c>
    </row>
    <row r="242" spans="1:48" ht="25.7" customHeight="1" x14ac:dyDescent="0.2">
      <c r="B242" s="12" t="s">
        <v>133</v>
      </c>
      <c r="C242" s="112" t="s">
        <v>435</v>
      </c>
      <c r="D242" s="113"/>
      <c r="E242" s="113"/>
      <c r="F242" s="113"/>
      <c r="G242" s="113"/>
      <c r="H242" s="113"/>
      <c r="I242" s="113"/>
      <c r="J242" s="113"/>
      <c r="K242" s="113"/>
      <c r="L242" s="113"/>
    </row>
    <row r="243" spans="1:48" x14ac:dyDescent="0.2">
      <c r="A243" s="6" t="s">
        <v>88</v>
      </c>
      <c r="B243" s="6" t="s">
        <v>215</v>
      </c>
      <c r="C243" s="6" t="s">
        <v>436</v>
      </c>
      <c r="D243" s="6" t="s">
        <v>527</v>
      </c>
      <c r="E243" s="21">
        <v>2</v>
      </c>
      <c r="F243" s="21">
        <v>0</v>
      </c>
      <c r="G243" s="21">
        <f>E243*AE243</f>
        <v>0</v>
      </c>
      <c r="H243" s="21">
        <f>I243-G243</f>
        <v>0</v>
      </c>
      <c r="I243" s="21">
        <f>E243*F243</f>
        <v>0</v>
      </c>
      <c r="J243" s="21">
        <v>3.7999999999999999E-2</v>
      </c>
      <c r="K243" s="21">
        <f>E243*J243</f>
        <v>7.5999999999999998E-2</v>
      </c>
      <c r="L243" s="32" t="s">
        <v>548</v>
      </c>
      <c r="P243" s="35">
        <f>IF(AG243="5",I243,0)</f>
        <v>0</v>
      </c>
      <c r="R243" s="35">
        <f>IF(AG243="1",G243,0)</f>
        <v>0</v>
      </c>
      <c r="S243" s="35">
        <f>IF(AG243="1",H243,0)</f>
        <v>0</v>
      </c>
      <c r="T243" s="35">
        <f>IF(AG243="7",G243,0)</f>
        <v>0</v>
      </c>
      <c r="U243" s="35">
        <f>IF(AG243="7",H243,0)</f>
        <v>0</v>
      </c>
      <c r="V243" s="35">
        <f>IF(AG243="2",G243,0)</f>
        <v>0</v>
      </c>
      <c r="W243" s="35">
        <f>IF(AG243="2",H243,0)</f>
        <v>0</v>
      </c>
      <c r="X243" s="35">
        <f>IF(AG243="0",I243,0)</f>
        <v>0</v>
      </c>
      <c r="Y243" s="28"/>
      <c r="Z243" s="21">
        <f>IF(AD243=0,I243,0)</f>
        <v>0</v>
      </c>
      <c r="AA243" s="21">
        <f>IF(AD243=15,I243,0)</f>
        <v>0</v>
      </c>
      <c r="AB243" s="21">
        <f>IF(AD243=21,I243,0)</f>
        <v>0</v>
      </c>
      <c r="AD243" s="35">
        <v>21</v>
      </c>
      <c r="AE243" s="35">
        <f>F243*1</f>
        <v>0</v>
      </c>
      <c r="AF243" s="35">
        <f>F243*(1-1)</f>
        <v>0</v>
      </c>
      <c r="AG243" s="32" t="s">
        <v>7</v>
      </c>
      <c r="AM243" s="35">
        <f>E243*AE243</f>
        <v>0</v>
      </c>
      <c r="AN243" s="35">
        <f>E243*AF243</f>
        <v>0</v>
      </c>
      <c r="AO243" s="36" t="s">
        <v>572</v>
      </c>
      <c r="AP243" s="36" t="s">
        <v>581</v>
      </c>
      <c r="AQ243" s="28" t="s">
        <v>584</v>
      </c>
      <c r="AS243" s="35">
        <f>AM243+AN243</f>
        <v>0</v>
      </c>
      <c r="AT243" s="35">
        <f>F243/(100-AU243)*100</f>
        <v>0</v>
      </c>
      <c r="AU243" s="35">
        <v>0</v>
      </c>
      <c r="AV243" s="35">
        <f>K243</f>
        <v>7.5999999999999998E-2</v>
      </c>
    </row>
    <row r="244" spans="1:48" x14ac:dyDescent="0.2">
      <c r="C244" s="15" t="s">
        <v>8</v>
      </c>
      <c r="E244" s="20">
        <v>2</v>
      </c>
    </row>
    <row r="245" spans="1:48" x14ac:dyDescent="0.2">
      <c r="B245" s="12" t="s">
        <v>133</v>
      </c>
      <c r="C245" s="112" t="s">
        <v>437</v>
      </c>
      <c r="D245" s="113"/>
      <c r="E245" s="113"/>
      <c r="F245" s="113"/>
      <c r="G245" s="113"/>
      <c r="H245" s="113"/>
      <c r="I245" s="113"/>
      <c r="J245" s="113"/>
      <c r="K245" s="113"/>
      <c r="L245" s="113"/>
    </row>
    <row r="246" spans="1:48" x14ac:dyDescent="0.2">
      <c r="A246" s="5"/>
      <c r="B246" s="13" t="s">
        <v>97</v>
      </c>
      <c r="C246" s="13" t="s">
        <v>438</v>
      </c>
      <c r="D246" s="5" t="s">
        <v>6</v>
      </c>
      <c r="E246" s="5" t="s">
        <v>6</v>
      </c>
      <c r="F246" s="5" t="s">
        <v>6</v>
      </c>
      <c r="G246" s="38">
        <f>SUM(G247:G320)</f>
        <v>0</v>
      </c>
      <c r="H246" s="38">
        <f>SUM(H247:H320)</f>
        <v>0</v>
      </c>
      <c r="I246" s="38">
        <f>G246+H246</f>
        <v>0</v>
      </c>
      <c r="J246" s="28"/>
      <c r="K246" s="38">
        <f>SUM(K247:K320)</f>
        <v>70.403834999999987</v>
      </c>
      <c r="L246" s="28"/>
      <c r="Y246" s="28"/>
      <c r="AI246" s="38">
        <f>SUM(Z247:Z320)</f>
        <v>0</v>
      </c>
      <c r="AJ246" s="38">
        <f>SUM(AA247:AA320)</f>
        <v>0</v>
      </c>
      <c r="AK246" s="38">
        <f>SUM(AB247:AB320)</f>
        <v>0</v>
      </c>
    </row>
    <row r="247" spans="1:48" x14ac:dyDescent="0.2">
      <c r="A247" s="4" t="s">
        <v>89</v>
      </c>
      <c r="B247" s="4" t="s">
        <v>216</v>
      </c>
      <c r="C247" s="4" t="s">
        <v>439</v>
      </c>
      <c r="D247" s="4" t="s">
        <v>524</v>
      </c>
      <c r="E247" s="19">
        <v>103</v>
      </c>
      <c r="F247" s="19">
        <v>0</v>
      </c>
      <c r="G247" s="19">
        <f>E247*AE247</f>
        <v>0</v>
      </c>
      <c r="H247" s="19">
        <f>I247-G247</f>
        <v>0</v>
      </c>
      <c r="I247" s="19">
        <f>E247*F247</f>
        <v>0</v>
      </c>
      <c r="J247" s="19">
        <v>0</v>
      </c>
      <c r="K247" s="19">
        <f>E247*J247</f>
        <v>0</v>
      </c>
      <c r="L247" s="31" t="s">
        <v>548</v>
      </c>
      <c r="P247" s="35">
        <f>IF(AG247="5",I247,0)</f>
        <v>0</v>
      </c>
      <c r="R247" s="35">
        <f>IF(AG247="1",G247,0)</f>
        <v>0</v>
      </c>
      <c r="S247" s="35">
        <f>IF(AG247="1",H247,0)</f>
        <v>0</v>
      </c>
      <c r="T247" s="35">
        <f>IF(AG247="7",G247,0)</f>
        <v>0</v>
      </c>
      <c r="U247" s="35">
        <f>IF(AG247="7",H247,0)</f>
        <v>0</v>
      </c>
      <c r="V247" s="35">
        <f>IF(AG247="2",G247,0)</f>
        <v>0</v>
      </c>
      <c r="W247" s="35">
        <f>IF(AG247="2",H247,0)</f>
        <v>0</v>
      </c>
      <c r="X247" s="35">
        <f>IF(AG247="0",I247,0)</f>
        <v>0</v>
      </c>
      <c r="Y247" s="28"/>
      <c r="Z247" s="19">
        <f>IF(AD247=0,I247,0)</f>
        <v>0</v>
      </c>
      <c r="AA247" s="19">
        <f>IF(AD247=15,I247,0)</f>
        <v>0</v>
      </c>
      <c r="AB247" s="19">
        <f>IF(AD247=21,I247,0)</f>
        <v>0</v>
      </c>
      <c r="AD247" s="35">
        <v>21</v>
      </c>
      <c r="AE247" s="35">
        <f>F247*0.528251292855775</f>
        <v>0</v>
      </c>
      <c r="AF247" s="35">
        <f>F247*(1-0.528251292855775)</f>
        <v>0</v>
      </c>
      <c r="AG247" s="31" t="s">
        <v>7</v>
      </c>
      <c r="AM247" s="35">
        <f>E247*AE247</f>
        <v>0</v>
      </c>
      <c r="AN247" s="35">
        <f>E247*AF247</f>
        <v>0</v>
      </c>
      <c r="AO247" s="36" t="s">
        <v>573</v>
      </c>
      <c r="AP247" s="36" t="s">
        <v>582</v>
      </c>
      <c r="AQ247" s="28" t="s">
        <v>584</v>
      </c>
      <c r="AS247" s="35">
        <f>AM247+AN247</f>
        <v>0</v>
      </c>
      <c r="AT247" s="35">
        <f>F247/(100-AU247)*100</f>
        <v>0</v>
      </c>
      <c r="AU247" s="35">
        <v>0</v>
      </c>
      <c r="AV247" s="35">
        <f>K247</f>
        <v>0</v>
      </c>
    </row>
    <row r="248" spans="1:48" x14ac:dyDescent="0.2">
      <c r="C248" s="15" t="s">
        <v>109</v>
      </c>
      <c r="E248" s="20">
        <v>103</v>
      </c>
    </row>
    <row r="249" spans="1:48" x14ac:dyDescent="0.2">
      <c r="B249" s="12" t="s">
        <v>133</v>
      </c>
      <c r="C249" s="112" t="s">
        <v>440</v>
      </c>
      <c r="D249" s="113"/>
      <c r="E249" s="113"/>
      <c r="F249" s="113"/>
      <c r="G249" s="113"/>
      <c r="H249" s="113"/>
      <c r="I249" s="113"/>
      <c r="J249" s="113"/>
      <c r="K249" s="113"/>
      <c r="L249" s="113"/>
    </row>
    <row r="250" spans="1:48" x14ac:dyDescent="0.2">
      <c r="A250" s="4" t="s">
        <v>90</v>
      </c>
      <c r="B250" s="4" t="s">
        <v>217</v>
      </c>
      <c r="C250" s="4" t="s">
        <v>441</v>
      </c>
      <c r="D250" s="4" t="s">
        <v>524</v>
      </c>
      <c r="E250" s="19">
        <v>78</v>
      </c>
      <c r="F250" s="19">
        <v>0</v>
      </c>
      <c r="G250" s="19">
        <f>E250*AE250</f>
        <v>0</v>
      </c>
      <c r="H250" s="19">
        <f>I250-G250</f>
        <v>0</v>
      </c>
      <c r="I250" s="19">
        <f>E250*F250</f>
        <v>0</v>
      </c>
      <c r="J250" s="19">
        <v>1.0000000000000001E-5</v>
      </c>
      <c r="K250" s="19">
        <f>E250*J250</f>
        <v>7.8000000000000009E-4</v>
      </c>
      <c r="L250" s="31" t="s">
        <v>548</v>
      </c>
      <c r="P250" s="35">
        <f>IF(AG250="5",I250,0)</f>
        <v>0</v>
      </c>
      <c r="R250" s="35">
        <f>IF(AG250="1",G250,0)</f>
        <v>0</v>
      </c>
      <c r="S250" s="35">
        <f>IF(AG250="1",H250,0)</f>
        <v>0</v>
      </c>
      <c r="T250" s="35">
        <f>IF(AG250="7",G250,0)</f>
        <v>0</v>
      </c>
      <c r="U250" s="35">
        <f>IF(AG250="7",H250,0)</f>
        <v>0</v>
      </c>
      <c r="V250" s="35">
        <f>IF(AG250="2",G250,0)</f>
        <v>0</v>
      </c>
      <c r="W250" s="35">
        <f>IF(AG250="2",H250,0)</f>
        <v>0</v>
      </c>
      <c r="X250" s="35">
        <f>IF(AG250="0",I250,0)</f>
        <v>0</v>
      </c>
      <c r="Y250" s="28"/>
      <c r="Z250" s="19">
        <f>IF(AD250=0,I250,0)</f>
        <v>0</v>
      </c>
      <c r="AA250" s="19">
        <f>IF(AD250=15,I250,0)</f>
        <v>0</v>
      </c>
      <c r="AB250" s="19">
        <f>IF(AD250=21,I250,0)</f>
        <v>0</v>
      </c>
      <c r="AD250" s="35">
        <v>21</v>
      </c>
      <c r="AE250" s="35">
        <f>F250*0.31661064774472</f>
        <v>0</v>
      </c>
      <c r="AF250" s="35">
        <f>F250*(1-0.31661064774472)</f>
        <v>0</v>
      </c>
      <c r="AG250" s="31" t="s">
        <v>7</v>
      </c>
      <c r="AM250" s="35">
        <f>E250*AE250</f>
        <v>0</v>
      </c>
      <c r="AN250" s="35">
        <f>E250*AF250</f>
        <v>0</v>
      </c>
      <c r="AO250" s="36" t="s">
        <v>573</v>
      </c>
      <c r="AP250" s="36" t="s">
        <v>582</v>
      </c>
      <c r="AQ250" s="28" t="s">
        <v>584</v>
      </c>
      <c r="AS250" s="35">
        <f>AM250+AN250</f>
        <v>0</v>
      </c>
      <c r="AT250" s="35">
        <f>F250/(100-AU250)*100</f>
        <v>0</v>
      </c>
      <c r="AU250" s="35">
        <v>0</v>
      </c>
      <c r="AV250" s="35">
        <f>K250</f>
        <v>7.8000000000000009E-4</v>
      </c>
    </row>
    <row r="251" spans="1:48" x14ac:dyDescent="0.2">
      <c r="C251" s="15" t="s">
        <v>442</v>
      </c>
      <c r="E251" s="20">
        <v>78</v>
      </c>
    </row>
    <row r="252" spans="1:48" x14ac:dyDescent="0.2">
      <c r="A252" s="4" t="s">
        <v>91</v>
      </c>
      <c r="B252" s="4" t="s">
        <v>218</v>
      </c>
      <c r="C252" s="4" t="s">
        <v>443</v>
      </c>
      <c r="D252" s="4" t="s">
        <v>524</v>
      </c>
      <c r="E252" s="19">
        <v>39</v>
      </c>
      <c r="F252" s="19">
        <v>0</v>
      </c>
      <c r="G252" s="19">
        <f>E252*AE252</f>
        <v>0</v>
      </c>
      <c r="H252" s="19">
        <f>I252-G252</f>
        <v>0</v>
      </c>
      <c r="I252" s="19">
        <f>E252*F252</f>
        <v>0</v>
      </c>
      <c r="J252" s="19">
        <v>2.0000000000000002E-5</v>
      </c>
      <c r="K252" s="19">
        <f>E252*J252</f>
        <v>7.8000000000000009E-4</v>
      </c>
      <c r="L252" s="31" t="s">
        <v>548</v>
      </c>
      <c r="P252" s="35">
        <f>IF(AG252="5",I252,0)</f>
        <v>0</v>
      </c>
      <c r="R252" s="35">
        <f>IF(AG252="1",G252,0)</f>
        <v>0</v>
      </c>
      <c r="S252" s="35">
        <f>IF(AG252="1",H252,0)</f>
        <v>0</v>
      </c>
      <c r="T252" s="35">
        <f>IF(AG252="7",G252,0)</f>
        <v>0</v>
      </c>
      <c r="U252" s="35">
        <f>IF(AG252="7",H252,0)</f>
        <v>0</v>
      </c>
      <c r="V252" s="35">
        <f>IF(AG252="2",G252,0)</f>
        <v>0</v>
      </c>
      <c r="W252" s="35">
        <f>IF(AG252="2",H252,0)</f>
        <v>0</v>
      </c>
      <c r="X252" s="35">
        <f>IF(AG252="0",I252,0)</f>
        <v>0</v>
      </c>
      <c r="Y252" s="28"/>
      <c r="Z252" s="19">
        <f>IF(AD252=0,I252,0)</f>
        <v>0</v>
      </c>
      <c r="AA252" s="19">
        <f>IF(AD252=15,I252,0)</f>
        <v>0</v>
      </c>
      <c r="AB252" s="19">
        <f>IF(AD252=21,I252,0)</f>
        <v>0</v>
      </c>
      <c r="AD252" s="35">
        <v>21</v>
      </c>
      <c r="AE252" s="35">
        <f>F252*0.271428571428571</f>
        <v>0</v>
      </c>
      <c r="AF252" s="35">
        <f>F252*(1-0.271428571428571)</f>
        <v>0</v>
      </c>
      <c r="AG252" s="31" t="s">
        <v>7</v>
      </c>
      <c r="AM252" s="35">
        <f>E252*AE252</f>
        <v>0</v>
      </c>
      <c r="AN252" s="35">
        <f>E252*AF252</f>
        <v>0</v>
      </c>
      <c r="AO252" s="36" t="s">
        <v>573</v>
      </c>
      <c r="AP252" s="36" t="s">
        <v>582</v>
      </c>
      <c r="AQ252" s="28" t="s">
        <v>584</v>
      </c>
      <c r="AS252" s="35">
        <f>AM252+AN252</f>
        <v>0</v>
      </c>
      <c r="AT252" s="35">
        <f>F252/(100-AU252)*100</f>
        <v>0</v>
      </c>
      <c r="AU252" s="35">
        <v>0</v>
      </c>
      <c r="AV252" s="35">
        <f>K252</f>
        <v>7.8000000000000009E-4</v>
      </c>
    </row>
    <row r="253" spans="1:48" x14ac:dyDescent="0.2">
      <c r="C253" s="15" t="s">
        <v>45</v>
      </c>
      <c r="E253" s="20">
        <v>39</v>
      </c>
    </row>
    <row r="254" spans="1:48" x14ac:dyDescent="0.2">
      <c r="A254" s="4" t="s">
        <v>92</v>
      </c>
      <c r="B254" s="4" t="s">
        <v>219</v>
      </c>
      <c r="C254" s="4" t="s">
        <v>444</v>
      </c>
      <c r="D254" s="4" t="s">
        <v>524</v>
      </c>
      <c r="E254" s="19">
        <v>239</v>
      </c>
      <c r="F254" s="19">
        <v>0</v>
      </c>
      <c r="G254" s="19">
        <f>E254*AE254</f>
        <v>0</v>
      </c>
      <c r="H254" s="19">
        <f>I254-G254</f>
        <v>0</v>
      </c>
      <c r="I254" s="19">
        <f>E254*F254</f>
        <v>0</v>
      </c>
      <c r="J254" s="19">
        <v>0.188</v>
      </c>
      <c r="K254" s="19">
        <f>E254*J254</f>
        <v>44.932000000000002</v>
      </c>
      <c r="L254" s="31" t="s">
        <v>548</v>
      </c>
      <c r="P254" s="35">
        <f>IF(AG254="5",I254,0)</f>
        <v>0</v>
      </c>
      <c r="R254" s="35">
        <f>IF(AG254="1",G254,0)</f>
        <v>0</v>
      </c>
      <c r="S254" s="35">
        <f>IF(AG254="1",H254,0)</f>
        <v>0</v>
      </c>
      <c r="T254" s="35">
        <f>IF(AG254="7",G254,0)</f>
        <v>0</v>
      </c>
      <c r="U254" s="35">
        <f>IF(AG254="7",H254,0)</f>
        <v>0</v>
      </c>
      <c r="V254" s="35">
        <f>IF(AG254="2",G254,0)</f>
        <v>0</v>
      </c>
      <c r="W254" s="35">
        <f>IF(AG254="2",H254,0)</f>
        <v>0</v>
      </c>
      <c r="X254" s="35">
        <f>IF(AG254="0",I254,0)</f>
        <v>0</v>
      </c>
      <c r="Y254" s="28"/>
      <c r="Z254" s="19">
        <f>IF(AD254=0,I254,0)</f>
        <v>0</v>
      </c>
      <c r="AA254" s="19">
        <f>IF(AD254=15,I254,0)</f>
        <v>0</v>
      </c>
      <c r="AB254" s="19">
        <f>IF(AD254=21,I254,0)</f>
        <v>0</v>
      </c>
      <c r="AD254" s="35">
        <v>21</v>
      </c>
      <c r="AE254" s="35">
        <f>F254*0.570478087649402</f>
        <v>0</v>
      </c>
      <c r="AF254" s="35">
        <f>F254*(1-0.570478087649402)</f>
        <v>0</v>
      </c>
      <c r="AG254" s="31" t="s">
        <v>7</v>
      </c>
      <c r="AM254" s="35">
        <f>E254*AE254</f>
        <v>0</v>
      </c>
      <c r="AN254" s="35">
        <f>E254*AF254</f>
        <v>0</v>
      </c>
      <c r="AO254" s="36" t="s">
        <v>573</v>
      </c>
      <c r="AP254" s="36" t="s">
        <v>582</v>
      </c>
      <c r="AQ254" s="28" t="s">
        <v>584</v>
      </c>
      <c r="AS254" s="35">
        <f>AM254+AN254</f>
        <v>0</v>
      </c>
      <c r="AT254" s="35">
        <f>F254/(100-AU254)*100</f>
        <v>0</v>
      </c>
      <c r="AU254" s="35">
        <v>0</v>
      </c>
      <c r="AV254" s="35">
        <f>K254</f>
        <v>44.932000000000002</v>
      </c>
    </row>
    <row r="255" spans="1:48" x14ac:dyDescent="0.2">
      <c r="C255" s="15" t="s">
        <v>445</v>
      </c>
      <c r="E255" s="20">
        <v>239</v>
      </c>
    </row>
    <row r="256" spans="1:48" x14ac:dyDescent="0.2">
      <c r="B256" s="12" t="s">
        <v>133</v>
      </c>
      <c r="C256" s="112" t="s">
        <v>446</v>
      </c>
      <c r="D256" s="113"/>
      <c r="E256" s="113"/>
      <c r="F256" s="113"/>
      <c r="G256" s="113"/>
      <c r="H256" s="113"/>
      <c r="I256" s="113"/>
      <c r="J256" s="113"/>
      <c r="K256" s="113"/>
      <c r="L256" s="113"/>
    </row>
    <row r="257" spans="1:48" x14ac:dyDescent="0.2">
      <c r="A257" s="6" t="s">
        <v>93</v>
      </c>
      <c r="B257" s="6" t="s">
        <v>220</v>
      </c>
      <c r="C257" s="6" t="s">
        <v>447</v>
      </c>
      <c r="D257" s="6" t="s">
        <v>527</v>
      </c>
      <c r="E257" s="21">
        <v>70.7</v>
      </c>
      <c r="F257" s="21">
        <v>0</v>
      </c>
      <c r="G257" s="21">
        <f>E257*AE257</f>
        <v>0</v>
      </c>
      <c r="H257" s="21">
        <f>I257-G257</f>
        <v>0</v>
      </c>
      <c r="I257" s="21">
        <f>E257*F257</f>
        <v>0</v>
      </c>
      <c r="J257" s="21">
        <v>4.8300000000000003E-2</v>
      </c>
      <c r="K257" s="21">
        <f>E257*J257</f>
        <v>3.4148100000000001</v>
      </c>
      <c r="L257" s="32" t="s">
        <v>548</v>
      </c>
      <c r="P257" s="35">
        <f>IF(AG257="5",I257,0)</f>
        <v>0</v>
      </c>
      <c r="R257" s="35">
        <f>IF(AG257="1",G257,0)</f>
        <v>0</v>
      </c>
      <c r="S257" s="35">
        <f>IF(AG257="1",H257,0)</f>
        <v>0</v>
      </c>
      <c r="T257" s="35">
        <f>IF(AG257="7",G257,0)</f>
        <v>0</v>
      </c>
      <c r="U257" s="35">
        <f>IF(AG257="7",H257,0)</f>
        <v>0</v>
      </c>
      <c r="V257" s="35">
        <f>IF(AG257="2",G257,0)</f>
        <v>0</v>
      </c>
      <c r="W257" s="35">
        <f>IF(AG257="2",H257,0)</f>
        <v>0</v>
      </c>
      <c r="X257" s="35">
        <f>IF(AG257="0",I257,0)</f>
        <v>0</v>
      </c>
      <c r="Y257" s="28"/>
      <c r="Z257" s="21">
        <f>IF(AD257=0,I257,0)</f>
        <v>0</v>
      </c>
      <c r="AA257" s="21">
        <f>IF(AD257=15,I257,0)</f>
        <v>0</v>
      </c>
      <c r="AB257" s="21">
        <f>IF(AD257=21,I257,0)</f>
        <v>0</v>
      </c>
      <c r="AD257" s="35">
        <v>21</v>
      </c>
      <c r="AE257" s="35">
        <f>F257*1</f>
        <v>0</v>
      </c>
      <c r="AF257" s="35">
        <f>F257*(1-1)</f>
        <v>0</v>
      </c>
      <c r="AG257" s="32" t="s">
        <v>7</v>
      </c>
      <c r="AM257" s="35">
        <f>E257*AE257</f>
        <v>0</v>
      </c>
      <c r="AN257" s="35">
        <f>E257*AF257</f>
        <v>0</v>
      </c>
      <c r="AO257" s="36" t="s">
        <v>573</v>
      </c>
      <c r="AP257" s="36" t="s">
        <v>582</v>
      </c>
      <c r="AQ257" s="28" t="s">
        <v>584</v>
      </c>
      <c r="AS257" s="35">
        <f>AM257+AN257</f>
        <v>0</v>
      </c>
      <c r="AT257" s="35">
        <f>F257/(100-AU257)*100</f>
        <v>0</v>
      </c>
      <c r="AU257" s="35">
        <v>0</v>
      </c>
      <c r="AV257" s="35">
        <f>K257</f>
        <v>3.4148100000000001</v>
      </c>
    </row>
    <row r="258" spans="1:48" x14ac:dyDescent="0.2">
      <c r="C258" s="15" t="s">
        <v>76</v>
      </c>
      <c r="E258" s="20">
        <v>70</v>
      </c>
    </row>
    <row r="259" spans="1:48" x14ac:dyDescent="0.2">
      <c r="C259" s="15" t="s">
        <v>448</v>
      </c>
      <c r="E259" s="20">
        <v>0.7</v>
      </c>
    </row>
    <row r="260" spans="1:48" x14ac:dyDescent="0.2">
      <c r="A260" s="6" t="s">
        <v>94</v>
      </c>
      <c r="B260" s="6" t="s">
        <v>221</v>
      </c>
      <c r="C260" s="6" t="s">
        <v>449</v>
      </c>
      <c r="D260" s="6" t="s">
        <v>527</v>
      </c>
      <c r="E260" s="21">
        <v>115.14</v>
      </c>
      <c r="F260" s="21">
        <v>0</v>
      </c>
      <c r="G260" s="21">
        <f>E260*AE260</f>
        <v>0</v>
      </c>
      <c r="H260" s="21">
        <f>I260-G260</f>
        <v>0</v>
      </c>
      <c r="I260" s="21">
        <f>E260*F260</f>
        <v>0</v>
      </c>
      <c r="J260" s="21">
        <v>0.06</v>
      </c>
      <c r="K260" s="21">
        <f>E260*J260</f>
        <v>6.9083999999999994</v>
      </c>
      <c r="L260" s="32" t="s">
        <v>548</v>
      </c>
      <c r="P260" s="35">
        <f>IF(AG260="5",I260,0)</f>
        <v>0</v>
      </c>
      <c r="R260" s="35">
        <f>IF(AG260="1",G260,0)</f>
        <v>0</v>
      </c>
      <c r="S260" s="35">
        <f>IF(AG260="1",H260,0)</f>
        <v>0</v>
      </c>
      <c r="T260" s="35">
        <f>IF(AG260="7",G260,0)</f>
        <v>0</v>
      </c>
      <c r="U260" s="35">
        <f>IF(AG260="7",H260,0)</f>
        <v>0</v>
      </c>
      <c r="V260" s="35">
        <f>IF(AG260="2",G260,0)</f>
        <v>0</v>
      </c>
      <c r="W260" s="35">
        <f>IF(AG260="2",H260,0)</f>
        <v>0</v>
      </c>
      <c r="X260" s="35">
        <f>IF(AG260="0",I260,0)</f>
        <v>0</v>
      </c>
      <c r="Y260" s="28"/>
      <c r="Z260" s="21">
        <f>IF(AD260=0,I260,0)</f>
        <v>0</v>
      </c>
      <c r="AA260" s="21">
        <f>IF(AD260=15,I260,0)</f>
        <v>0</v>
      </c>
      <c r="AB260" s="21">
        <f>IF(AD260=21,I260,0)</f>
        <v>0</v>
      </c>
      <c r="AD260" s="35">
        <v>21</v>
      </c>
      <c r="AE260" s="35">
        <f>F260*1</f>
        <v>0</v>
      </c>
      <c r="AF260" s="35">
        <f>F260*(1-1)</f>
        <v>0</v>
      </c>
      <c r="AG260" s="32" t="s">
        <v>7</v>
      </c>
      <c r="AM260" s="35">
        <f>E260*AE260</f>
        <v>0</v>
      </c>
      <c r="AN260" s="35">
        <f>E260*AF260</f>
        <v>0</v>
      </c>
      <c r="AO260" s="36" t="s">
        <v>573</v>
      </c>
      <c r="AP260" s="36" t="s">
        <v>582</v>
      </c>
      <c r="AQ260" s="28" t="s">
        <v>584</v>
      </c>
      <c r="AS260" s="35">
        <f>AM260+AN260</f>
        <v>0</v>
      </c>
      <c r="AT260" s="35">
        <f>F260/(100-AU260)*100</f>
        <v>0</v>
      </c>
      <c r="AU260" s="35">
        <v>0</v>
      </c>
      <c r="AV260" s="35">
        <f>K260</f>
        <v>6.9083999999999994</v>
      </c>
    </row>
    <row r="261" spans="1:48" x14ac:dyDescent="0.2">
      <c r="C261" s="15" t="s">
        <v>120</v>
      </c>
      <c r="E261" s="20">
        <v>114</v>
      </c>
    </row>
    <row r="262" spans="1:48" x14ac:dyDescent="0.2">
      <c r="C262" s="15" t="s">
        <v>450</v>
      </c>
      <c r="E262" s="20">
        <v>1.1399999999999999</v>
      </c>
    </row>
    <row r="263" spans="1:48" x14ac:dyDescent="0.2">
      <c r="B263" s="12" t="s">
        <v>133</v>
      </c>
      <c r="C263" s="112" t="s">
        <v>451</v>
      </c>
      <c r="D263" s="113"/>
      <c r="E263" s="113"/>
      <c r="F263" s="113"/>
      <c r="G263" s="113"/>
      <c r="H263" s="113"/>
      <c r="I263" s="113"/>
      <c r="J263" s="113"/>
      <c r="K263" s="113"/>
      <c r="L263" s="113"/>
    </row>
    <row r="264" spans="1:48" x14ac:dyDescent="0.2">
      <c r="A264" s="6" t="s">
        <v>95</v>
      </c>
      <c r="B264" s="6" t="s">
        <v>222</v>
      </c>
      <c r="C264" s="6" t="s">
        <v>452</v>
      </c>
      <c r="D264" s="6" t="s">
        <v>527</v>
      </c>
      <c r="E264" s="21">
        <v>55.55</v>
      </c>
      <c r="F264" s="21">
        <v>0</v>
      </c>
      <c r="G264" s="21">
        <f>E264*AE264</f>
        <v>0</v>
      </c>
      <c r="H264" s="21">
        <f>I264-G264</f>
        <v>0</v>
      </c>
      <c r="I264" s="21">
        <f>E264*F264</f>
        <v>0</v>
      </c>
      <c r="J264" s="21">
        <v>8.2100000000000006E-2</v>
      </c>
      <c r="K264" s="21">
        <f>E264*J264</f>
        <v>4.5606549999999997</v>
      </c>
      <c r="L264" s="32" t="s">
        <v>548</v>
      </c>
      <c r="P264" s="35">
        <f>IF(AG264="5",I264,0)</f>
        <v>0</v>
      </c>
      <c r="R264" s="35">
        <f>IF(AG264="1",G264,0)</f>
        <v>0</v>
      </c>
      <c r="S264" s="35">
        <f>IF(AG264="1",H264,0)</f>
        <v>0</v>
      </c>
      <c r="T264" s="35">
        <f>IF(AG264="7",G264,0)</f>
        <v>0</v>
      </c>
      <c r="U264" s="35">
        <f>IF(AG264="7",H264,0)</f>
        <v>0</v>
      </c>
      <c r="V264" s="35">
        <f>IF(AG264="2",G264,0)</f>
        <v>0</v>
      </c>
      <c r="W264" s="35">
        <f>IF(AG264="2",H264,0)</f>
        <v>0</v>
      </c>
      <c r="X264" s="35">
        <f>IF(AG264="0",I264,0)</f>
        <v>0</v>
      </c>
      <c r="Y264" s="28"/>
      <c r="Z264" s="21">
        <f>IF(AD264=0,I264,0)</f>
        <v>0</v>
      </c>
      <c r="AA264" s="21">
        <f>IF(AD264=15,I264,0)</f>
        <v>0</v>
      </c>
      <c r="AB264" s="21">
        <f>IF(AD264=21,I264,0)</f>
        <v>0</v>
      </c>
      <c r="AD264" s="35">
        <v>21</v>
      </c>
      <c r="AE264" s="35">
        <f>F264*1</f>
        <v>0</v>
      </c>
      <c r="AF264" s="35">
        <f>F264*(1-1)</f>
        <v>0</v>
      </c>
      <c r="AG264" s="32" t="s">
        <v>7</v>
      </c>
      <c r="AM264" s="35">
        <f>E264*AE264</f>
        <v>0</v>
      </c>
      <c r="AN264" s="35">
        <f>E264*AF264</f>
        <v>0</v>
      </c>
      <c r="AO264" s="36" t="s">
        <v>573</v>
      </c>
      <c r="AP264" s="36" t="s">
        <v>582</v>
      </c>
      <c r="AQ264" s="28" t="s">
        <v>584</v>
      </c>
      <c r="AS264" s="35">
        <f>AM264+AN264</f>
        <v>0</v>
      </c>
      <c r="AT264" s="35">
        <f>F264/(100-AU264)*100</f>
        <v>0</v>
      </c>
      <c r="AU264" s="35">
        <v>0</v>
      </c>
      <c r="AV264" s="35">
        <f>K264</f>
        <v>4.5606549999999997</v>
      </c>
    </row>
    <row r="265" spans="1:48" x14ac:dyDescent="0.2">
      <c r="C265" s="15" t="s">
        <v>61</v>
      </c>
      <c r="E265" s="20">
        <v>55</v>
      </c>
    </row>
    <row r="266" spans="1:48" x14ac:dyDescent="0.2">
      <c r="C266" s="15" t="s">
        <v>453</v>
      </c>
      <c r="E266" s="20">
        <v>0.55000000000000004</v>
      </c>
    </row>
    <row r="267" spans="1:48" x14ac:dyDescent="0.2">
      <c r="A267" s="4" t="s">
        <v>96</v>
      </c>
      <c r="B267" s="4" t="s">
        <v>223</v>
      </c>
      <c r="C267" s="4" t="s">
        <v>454</v>
      </c>
      <c r="D267" s="4" t="s">
        <v>524</v>
      </c>
      <c r="E267" s="19">
        <v>22</v>
      </c>
      <c r="F267" s="19">
        <v>0</v>
      </c>
      <c r="G267" s="19">
        <f>E267*AE267</f>
        <v>0</v>
      </c>
      <c r="H267" s="19">
        <f>I267-G267</f>
        <v>0</v>
      </c>
      <c r="I267" s="19">
        <f>E267*F267</f>
        <v>0</v>
      </c>
      <c r="J267" s="19">
        <v>0.22500000000000001</v>
      </c>
      <c r="K267" s="19">
        <f>E267*J267</f>
        <v>4.95</v>
      </c>
      <c r="L267" s="31" t="s">
        <v>548</v>
      </c>
      <c r="P267" s="35">
        <f>IF(AG267="5",I267,0)</f>
        <v>0</v>
      </c>
      <c r="R267" s="35">
        <f>IF(AG267="1",G267,0)</f>
        <v>0</v>
      </c>
      <c r="S267" s="35">
        <f>IF(AG267="1",H267,0)</f>
        <v>0</v>
      </c>
      <c r="T267" s="35">
        <f>IF(AG267="7",G267,0)</f>
        <v>0</v>
      </c>
      <c r="U267" s="35">
        <f>IF(AG267="7",H267,0)</f>
        <v>0</v>
      </c>
      <c r="V267" s="35">
        <f>IF(AG267="2",G267,0)</f>
        <v>0</v>
      </c>
      <c r="W267" s="35">
        <f>IF(AG267="2",H267,0)</f>
        <v>0</v>
      </c>
      <c r="X267" s="35">
        <f>IF(AG267="0",I267,0)</f>
        <v>0</v>
      </c>
      <c r="Y267" s="28"/>
      <c r="Z267" s="19">
        <f>IF(AD267=0,I267,0)</f>
        <v>0</v>
      </c>
      <c r="AA267" s="19">
        <f>IF(AD267=15,I267,0)</f>
        <v>0</v>
      </c>
      <c r="AB267" s="19">
        <f>IF(AD267=21,I267,0)</f>
        <v>0</v>
      </c>
      <c r="AD267" s="35">
        <v>21</v>
      </c>
      <c r="AE267" s="35">
        <f>F267*0.429335733393335</f>
        <v>0</v>
      </c>
      <c r="AF267" s="35">
        <f>F267*(1-0.429335733393335)</f>
        <v>0</v>
      </c>
      <c r="AG267" s="31" t="s">
        <v>7</v>
      </c>
      <c r="AM267" s="35">
        <f>E267*AE267</f>
        <v>0</v>
      </c>
      <c r="AN267" s="35">
        <f>E267*AF267</f>
        <v>0</v>
      </c>
      <c r="AO267" s="36" t="s">
        <v>573</v>
      </c>
      <c r="AP267" s="36" t="s">
        <v>582</v>
      </c>
      <c r="AQ267" s="28" t="s">
        <v>584</v>
      </c>
      <c r="AS267" s="35">
        <f>AM267+AN267</f>
        <v>0</v>
      </c>
      <c r="AT267" s="35">
        <f>F267/(100-AU267)*100</f>
        <v>0</v>
      </c>
      <c r="AU267" s="35">
        <v>0</v>
      </c>
      <c r="AV267" s="35">
        <f>K267</f>
        <v>4.95</v>
      </c>
    </row>
    <row r="268" spans="1:48" x14ac:dyDescent="0.2">
      <c r="C268" s="15" t="s">
        <v>28</v>
      </c>
      <c r="E268" s="20">
        <v>22</v>
      </c>
    </row>
    <row r="269" spans="1:48" x14ac:dyDescent="0.2">
      <c r="A269" s="6" t="s">
        <v>97</v>
      </c>
      <c r="B269" s="6" t="s">
        <v>224</v>
      </c>
      <c r="C269" s="6" t="s">
        <v>455</v>
      </c>
      <c r="D269" s="6" t="s">
        <v>527</v>
      </c>
      <c r="E269" s="21">
        <v>20.2</v>
      </c>
      <c r="F269" s="21">
        <v>0</v>
      </c>
      <c r="G269" s="21">
        <f>E269*AE269</f>
        <v>0</v>
      </c>
      <c r="H269" s="21">
        <f>I269-G269</f>
        <v>0</v>
      </c>
      <c r="I269" s="21">
        <f>E269*F269</f>
        <v>0</v>
      </c>
      <c r="J269" s="21">
        <v>0.22500000000000001</v>
      </c>
      <c r="K269" s="21">
        <f>E269*J269</f>
        <v>4.5449999999999999</v>
      </c>
      <c r="L269" s="32" t="s">
        <v>548</v>
      </c>
      <c r="P269" s="35">
        <f>IF(AG269="5",I269,0)</f>
        <v>0</v>
      </c>
      <c r="R269" s="35">
        <f>IF(AG269="1",G269,0)</f>
        <v>0</v>
      </c>
      <c r="S269" s="35">
        <f>IF(AG269="1",H269,0)</f>
        <v>0</v>
      </c>
      <c r="T269" s="35">
        <f>IF(AG269="7",G269,0)</f>
        <v>0</v>
      </c>
      <c r="U269" s="35">
        <f>IF(AG269="7",H269,0)</f>
        <v>0</v>
      </c>
      <c r="V269" s="35">
        <f>IF(AG269="2",G269,0)</f>
        <v>0</v>
      </c>
      <c r="W269" s="35">
        <f>IF(AG269="2",H269,0)</f>
        <v>0</v>
      </c>
      <c r="X269" s="35">
        <f>IF(AG269="0",I269,0)</f>
        <v>0</v>
      </c>
      <c r="Y269" s="28"/>
      <c r="Z269" s="21">
        <f>IF(AD269=0,I269,0)</f>
        <v>0</v>
      </c>
      <c r="AA269" s="21">
        <f>IF(AD269=15,I269,0)</f>
        <v>0</v>
      </c>
      <c r="AB269" s="21">
        <f>IF(AD269=21,I269,0)</f>
        <v>0</v>
      </c>
      <c r="AD269" s="35">
        <v>21</v>
      </c>
      <c r="AE269" s="35">
        <f>F269*1</f>
        <v>0</v>
      </c>
      <c r="AF269" s="35">
        <f>F269*(1-1)</f>
        <v>0</v>
      </c>
      <c r="AG269" s="32" t="s">
        <v>7</v>
      </c>
      <c r="AM269" s="35">
        <f>E269*AE269</f>
        <v>0</v>
      </c>
      <c r="AN269" s="35">
        <f>E269*AF269</f>
        <v>0</v>
      </c>
      <c r="AO269" s="36" t="s">
        <v>573</v>
      </c>
      <c r="AP269" s="36" t="s">
        <v>582</v>
      </c>
      <c r="AQ269" s="28" t="s">
        <v>584</v>
      </c>
      <c r="AS269" s="35">
        <f>AM269+AN269</f>
        <v>0</v>
      </c>
      <c r="AT269" s="35">
        <f>F269/(100-AU269)*100</f>
        <v>0</v>
      </c>
      <c r="AU269" s="35">
        <v>0</v>
      </c>
      <c r="AV269" s="35">
        <f>K269</f>
        <v>4.5449999999999999</v>
      </c>
    </row>
    <row r="270" spans="1:48" x14ac:dyDescent="0.2">
      <c r="C270" s="15" t="s">
        <v>26</v>
      </c>
      <c r="E270" s="20">
        <v>20</v>
      </c>
    </row>
    <row r="271" spans="1:48" x14ac:dyDescent="0.2">
      <c r="C271" s="15" t="s">
        <v>456</v>
      </c>
      <c r="E271" s="20">
        <v>0.2</v>
      </c>
    </row>
    <row r="272" spans="1:48" ht="38.450000000000003" customHeight="1" x14ac:dyDescent="0.2">
      <c r="B272" s="12" t="s">
        <v>133</v>
      </c>
      <c r="C272" s="112" t="s">
        <v>457</v>
      </c>
      <c r="D272" s="113"/>
      <c r="E272" s="113"/>
      <c r="F272" s="113"/>
      <c r="G272" s="113"/>
      <c r="H272" s="113"/>
      <c r="I272" s="113"/>
      <c r="J272" s="113"/>
      <c r="K272" s="113"/>
      <c r="L272" s="113"/>
    </row>
    <row r="273" spans="1:48" x14ac:dyDescent="0.2">
      <c r="A273" s="6" t="s">
        <v>98</v>
      </c>
      <c r="B273" s="6" t="s">
        <v>225</v>
      </c>
      <c r="C273" s="6" t="s">
        <v>458</v>
      </c>
      <c r="D273" s="6" t="s">
        <v>527</v>
      </c>
      <c r="E273" s="21">
        <v>1</v>
      </c>
      <c r="F273" s="21">
        <v>0</v>
      </c>
      <c r="G273" s="21">
        <f>E273*AE273</f>
        <v>0</v>
      </c>
      <c r="H273" s="21">
        <f>I273-G273</f>
        <v>0</v>
      </c>
      <c r="I273" s="21">
        <f>E273*F273</f>
        <v>0</v>
      </c>
      <c r="J273" s="21">
        <v>0.20699999999999999</v>
      </c>
      <c r="K273" s="21">
        <f>E273*J273</f>
        <v>0.20699999999999999</v>
      </c>
      <c r="L273" s="32" t="s">
        <v>548</v>
      </c>
      <c r="P273" s="35">
        <f>IF(AG273="5",I273,0)</f>
        <v>0</v>
      </c>
      <c r="R273" s="35">
        <f>IF(AG273="1",G273,0)</f>
        <v>0</v>
      </c>
      <c r="S273" s="35">
        <f>IF(AG273="1",H273,0)</f>
        <v>0</v>
      </c>
      <c r="T273" s="35">
        <f>IF(AG273="7",G273,0)</f>
        <v>0</v>
      </c>
      <c r="U273" s="35">
        <f>IF(AG273="7",H273,0)</f>
        <v>0</v>
      </c>
      <c r="V273" s="35">
        <f>IF(AG273="2",G273,0)</f>
        <v>0</v>
      </c>
      <c r="W273" s="35">
        <f>IF(AG273="2",H273,0)</f>
        <v>0</v>
      </c>
      <c r="X273" s="35">
        <f>IF(AG273="0",I273,0)</f>
        <v>0</v>
      </c>
      <c r="Y273" s="28"/>
      <c r="Z273" s="21">
        <f>IF(AD273=0,I273,0)</f>
        <v>0</v>
      </c>
      <c r="AA273" s="21">
        <f>IF(AD273=15,I273,0)</f>
        <v>0</v>
      </c>
      <c r="AB273" s="21">
        <f>IF(AD273=21,I273,0)</f>
        <v>0</v>
      </c>
      <c r="AD273" s="35">
        <v>21</v>
      </c>
      <c r="AE273" s="35">
        <f>F273*1</f>
        <v>0</v>
      </c>
      <c r="AF273" s="35">
        <f>F273*(1-1)</f>
        <v>0</v>
      </c>
      <c r="AG273" s="32" t="s">
        <v>7</v>
      </c>
      <c r="AM273" s="35">
        <f>E273*AE273</f>
        <v>0</v>
      </c>
      <c r="AN273" s="35">
        <f>E273*AF273</f>
        <v>0</v>
      </c>
      <c r="AO273" s="36" t="s">
        <v>573</v>
      </c>
      <c r="AP273" s="36" t="s">
        <v>582</v>
      </c>
      <c r="AQ273" s="28" t="s">
        <v>584</v>
      </c>
      <c r="AS273" s="35">
        <f>AM273+AN273</f>
        <v>0</v>
      </c>
      <c r="AT273" s="35">
        <f>F273/(100-AU273)*100</f>
        <v>0</v>
      </c>
      <c r="AU273" s="35">
        <v>0</v>
      </c>
      <c r="AV273" s="35">
        <f>K273</f>
        <v>0.20699999999999999</v>
      </c>
    </row>
    <row r="274" spans="1:48" x14ac:dyDescent="0.2">
      <c r="C274" s="15" t="s">
        <v>7</v>
      </c>
      <c r="E274" s="20">
        <v>1</v>
      </c>
    </row>
    <row r="275" spans="1:48" ht="38.450000000000003" customHeight="1" x14ac:dyDescent="0.2">
      <c r="B275" s="12" t="s">
        <v>133</v>
      </c>
      <c r="C275" s="112" t="s">
        <v>457</v>
      </c>
      <c r="D275" s="113"/>
      <c r="E275" s="113"/>
      <c r="F275" s="113"/>
      <c r="G275" s="113"/>
      <c r="H275" s="113"/>
      <c r="I275" s="113"/>
      <c r="J275" s="113"/>
      <c r="K275" s="113"/>
      <c r="L275" s="113"/>
    </row>
    <row r="276" spans="1:48" x14ac:dyDescent="0.2">
      <c r="A276" s="6" t="s">
        <v>99</v>
      </c>
      <c r="B276" s="6" t="s">
        <v>226</v>
      </c>
      <c r="C276" s="6" t="s">
        <v>459</v>
      </c>
      <c r="D276" s="6" t="s">
        <v>527</v>
      </c>
      <c r="E276" s="21">
        <v>1</v>
      </c>
      <c r="F276" s="21">
        <v>0</v>
      </c>
      <c r="G276" s="21">
        <f>E276*AE276</f>
        <v>0</v>
      </c>
      <c r="H276" s="21">
        <f>I276-G276</f>
        <v>0</v>
      </c>
      <c r="I276" s="21">
        <f>E276*F276</f>
        <v>0</v>
      </c>
      <c r="J276" s="21">
        <v>0.20699999999999999</v>
      </c>
      <c r="K276" s="21">
        <f>E276*J276</f>
        <v>0.20699999999999999</v>
      </c>
      <c r="L276" s="32" t="s">
        <v>548</v>
      </c>
      <c r="P276" s="35">
        <f>IF(AG276="5",I276,0)</f>
        <v>0</v>
      </c>
      <c r="R276" s="35">
        <f>IF(AG276="1",G276,0)</f>
        <v>0</v>
      </c>
      <c r="S276" s="35">
        <f>IF(AG276="1",H276,0)</f>
        <v>0</v>
      </c>
      <c r="T276" s="35">
        <f>IF(AG276="7",G276,0)</f>
        <v>0</v>
      </c>
      <c r="U276" s="35">
        <f>IF(AG276="7",H276,0)</f>
        <v>0</v>
      </c>
      <c r="V276" s="35">
        <f>IF(AG276="2",G276,0)</f>
        <v>0</v>
      </c>
      <c r="W276" s="35">
        <f>IF(AG276="2",H276,0)</f>
        <v>0</v>
      </c>
      <c r="X276" s="35">
        <f>IF(AG276="0",I276,0)</f>
        <v>0</v>
      </c>
      <c r="Y276" s="28"/>
      <c r="Z276" s="21">
        <f>IF(AD276=0,I276,0)</f>
        <v>0</v>
      </c>
      <c r="AA276" s="21">
        <f>IF(AD276=15,I276,0)</f>
        <v>0</v>
      </c>
      <c r="AB276" s="21">
        <f>IF(AD276=21,I276,0)</f>
        <v>0</v>
      </c>
      <c r="AD276" s="35">
        <v>21</v>
      </c>
      <c r="AE276" s="35">
        <f>F276*1</f>
        <v>0</v>
      </c>
      <c r="AF276" s="35">
        <f>F276*(1-1)</f>
        <v>0</v>
      </c>
      <c r="AG276" s="32" t="s">
        <v>7</v>
      </c>
      <c r="AM276" s="35">
        <f>E276*AE276</f>
        <v>0</v>
      </c>
      <c r="AN276" s="35">
        <f>E276*AF276</f>
        <v>0</v>
      </c>
      <c r="AO276" s="36" t="s">
        <v>573</v>
      </c>
      <c r="AP276" s="36" t="s">
        <v>582</v>
      </c>
      <c r="AQ276" s="28" t="s">
        <v>584</v>
      </c>
      <c r="AS276" s="35">
        <f>AM276+AN276</f>
        <v>0</v>
      </c>
      <c r="AT276" s="35">
        <f>F276/(100-AU276)*100</f>
        <v>0</v>
      </c>
      <c r="AU276" s="35">
        <v>0</v>
      </c>
      <c r="AV276" s="35">
        <f>K276</f>
        <v>0.20699999999999999</v>
      </c>
    </row>
    <row r="277" spans="1:48" x14ac:dyDescent="0.2">
      <c r="C277" s="15" t="s">
        <v>7</v>
      </c>
      <c r="E277" s="20">
        <v>1</v>
      </c>
    </row>
    <row r="278" spans="1:48" ht="38.450000000000003" customHeight="1" x14ac:dyDescent="0.2">
      <c r="B278" s="12" t="s">
        <v>133</v>
      </c>
      <c r="C278" s="112" t="s">
        <v>457</v>
      </c>
      <c r="D278" s="113"/>
      <c r="E278" s="113"/>
      <c r="F278" s="113"/>
      <c r="G278" s="113"/>
      <c r="H278" s="113"/>
      <c r="I278" s="113"/>
      <c r="J278" s="113"/>
      <c r="K278" s="113"/>
      <c r="L278" s="113"/>
    </row>
    <row r="279" spans="1:48" x14ac:dyDescent="0.2">
      <c r="A279" s="4" t="s">
        <v>100</v>
      </c>
      <c r="B279" s="4" t="s">
        <v>227</v>
      </c>
      <c r="C279" s="4" t="s">
        <v>460</v>
      </c>
      <c r="D279" s="4" t="s">
        <v>527</v>
      </c>
      <c r="E279" s="19">
        <v>5</v>
      </c>
      <c r="F279" s="19">
        <v>0</v>
      </c>
      <c r="G279" s="19">
        <f>E279*AE279</f>
        <v>0</v>
      </c>
      <c r="H279" s="19">
        <f>I279-G279</f>
        <v>0</v>
      </c>
      <c r="I279" s="19">
        <f>E279*F279</f>
        <v>0</v>
      </c>
      <c r="J279" s="19">
        <v>0</v>
      </c>
      <c r="K279" s="19">
        <f>E279*J279</f>
        <v>0</v>
      </c>
      <c r="L279" s="31" t="s">
        <v>548</v>
      </c>
      <c r="P279" s="35">
        <f>IF(AG279="5",I279,0)</f>
        <v>0</v>
      </c>
      <c r="R279" s="35">
        <f>IF(AG279="1",G279,0)</f>
        <v>0</v>
      </c>
      <c r="S279" s="35">
        <f>IF(AG279="1",H279,0)</f>
        <v>0</v>
      </c>
      <c r="T279" s="35">
        <f>IF(AG279="7",G279,0)</f>
        <v>0</v>
      </c>
      <c r="U279" s="35">
        <f>IF(AG279="7",H279,0)</f>
        <v>0</v>
      </c>
      <c r="V279" s="35">
        <f>IF(AG279="2",G279,0)</f>
        <v>0</v>
      </c>
      <c r="W279" s="35">
        <f>IF(AG279="2",H279,0)</f>
        <v>0</v>
      </c>
      <c r="X279" s="35">
        <f>IF(AG279="0",I279,0)</f>
        <v>0</v>
      </c>
      <c r="Y279" s="28"/>
      <c r="Z279" s="19">
        <f>IF(AD279=0,I279,0)</f>
        <v>0</v>
      </c>
      <c r="AA279" s="19">
        <f>IF(AD279=15,I279,0)</f>
        <v>0</v>
      </c>
      <c r="AB279" s="19">
        <f>IF(AD279=21,I279,0)</f>
        <v>0</v>
      </c>
      <c r="AD279" s="35">
        <v>21</v>
      </c>
      <c r="AE279" s="35">
        <f>F279*0.416226323063166</f>
        <v>0</v>
      </c>
      <c r="AF279" s="35">
        <f>F279*(1-0.416226323063166)</f>
        <v>0</v>
      </c>
      <c r="AG279" s="31" t="s">
        <v>7</v>
      </c>
      <c r="AM279" s="35">
        <f>E279*AE279</f>
        <v>0</v>
      </c>
      <c r="AN279" s="35">
        <f>E279*AF279</f>
        <v>0</v>
      </c>
      <c r="AO279" s="36" t="s">
        <v>573</v>
      </c>
      <c r="AP279" s="36" t="s">
        <v>582</v>
      </c>
      <c r="AQ279" s="28" t="s">
        <v>584</v>
      </c>
      <c r="AS279" s="35">
        <f>AM279+AN279</f>
        <v>0</v>
      </c>
      <c r="AT279" s="35">
        <f>F279/(100-AU279)*100</f>
        <v>0</v>
      </c>
      <c r="AU279" s="35">
        <v>0</v>
      </c>
      <c r="AV279" s="35">
        <f>K279</f>
        <v>0</v>
      </c>
    </row>
    <row r="280" spans="1:48" x14ac:dyDescent="0.2">
      <c r="C280" s="15" t="s">
        <v>11</v>
      </c>
      <c r="E280" s="20">
        <v>5</v>
      </c>
    </row>
    <row r="281" spans="1:48" x14ac:dyDescent="0.2">
      <c r="B281" s="12" t="s">
        <v>133</v>
      </c>
      <c r="C281" s="112" t="s">
        <v>461</v>
      </c>
      <c r="D281" s="113"/>
      <c r="E281" s="113"/>
      <c r="F281" s="113"/>
      <c r="G281" s="113"/>
      <c r="H281" s="113"/>
      <c r="I281" s="113"/>
      <c r="J281" s="113"/>
      <c r="K281" s="113"/>
      <c r="L281" s="113"/>
    </row>
    <row r="282" spans="1:48" x14ac:dyDescent="0.2">
      <c r="A282" s="6" t="s">
        <v>101</v>
      </c>
      <c r="B282" s="6" t="s">
        <v>228</v>
      </c>
      <c r="C282" s="6" t="s">
        <v>462</v>
      </c>
      <c r="D282" s="6" t="s">
        <v>527</v>
      </c>
      <c r="E282" s="21">
        <v>2</v>
      </c>
      <c r="F282" s="21">
        <v>0</v>
      </c>
      <c r="G282" s="21">
        <f>E282*AE282</f>
        <v>0</v>
      </c>
      <c r="H282" s="21">
        <f>I282-G282</f>
        <v>0</v>
      </c>
      <c r="I282" s="21">
        <f>E282*F282</f>
        <v>0</v>
      </c>
      <c r="J282" s="21">
        <v>5.1000000000000004E-3</v>
      </c>
      <c r="K282" s="21">
        <f>E282*J282</f>
        <v>1.0200000000000001E-2</v>
      </c>
      <c r="L282" s="32" t="s">
        <v>548</v>
      </c>
      <c r="P282" s="35">
        <f>IF(AG282="5",I282,0)</f>
        <v>0</v>
      </c>
      <c r="R282" s="35">
        <f>IF(AG282="1",G282,0)</f>
        <v>0</v>
      </c>
      <c r="S282" s="35">
        <f>IF(AG282="1",H282,0)</f>
        <v>0</v>
      </c>
      <c r="T282" s="35">
        <f>IF(AG282="7",G282,0)</f>
        <v>0</v>
      </c>
      <c r="U282" s="35">
        <f>IF(AG282="7",H282,0)</f>
        <v>0</v>
      </c>
      <c r="V282" s="35">
        <f>IF(AG282="2",G282,0)</f>
        <v>0</v>
      </c>
      <c r="W282" s="35">
        <f>IF(AG282="2",H282,0)</f>
        <v>0</v>
      </c>
      <c r="X282" s="35">
        <f>IF(AG282="0",I282,0)</f>
        <v>0</v>
      </c>
      <c r="Y282" s="28"/>
      <c r="Z282" s="21">
        <f>IF(AD282=0,I282,0)</f>
        <v>0</v>
      </c>
      <c r="AA282" s="21">
        <f>IF(AD282=15,I282,0)</f>
        <v>0</v>
      </c>
      <c r="AB282" s="21">
        <f>IF(AD282=21,I282,0)</f>
        <v>0</v>
      </c>
      <c r="AD282" s="35">
        <v>21</v>
      </c>
      <c r="AE282" s="35">
        <f>F282*1</f>
        <v>0</v>
      </c>
      <c r="AF282" s="35">
        <f>F282*(1-1)</f>
        <v>0</v>
      </c>
      <c r="AG282" s="32" t="s">
        <v>7</v>
      </c>
      <c r="AM282" s="35">
        <f>E282*AE282</f>
        <v>0</v>
      </c>
      <c r="AN282" s="35">
        <f>E282*AF282</f>
        <v>0</v>
      </c>
      <c r="AO282" s="36" t="s">
        <v>573</v>
      </c>
      <c r="AP282" s="36" t="s">
        <v>582</v>
      </c>
      <c r="AQ282" s="28" t="s">
        <v>584</v>
      </c>
      <c r="AS282" s="35">
        <f>AM282+AN282</f>
        <v>0</v>
      </c>
      <c r="AT282" s="35">
        <f>F282/(100-AU282)*100</f>
        <v>0</v>
      </c>
      <c r="AU282" s="35">
        <v>0</v>
      </c>
      <c r="AV282" s="35">
        <f>K282</f>
        <v>1.0200000000000001E-2</v>
      </c>
    </row>
    <row r="283" spans="1:48" x14ac:dyDescent="0.2">
      <c r="C283" s="15" t="s">
        <v>8</v>
      </c>
      <c r="E283" s="20">
        <v>2</v>
      </c>
    </row>
    <row r="284" spans="1:48" ht="38.450000000000003" customHeight="1" x14ac:dyDescent="0.2">
      <c r="B284" s="12" t="s">
        <v>133</v>
      </c>
      <c r="C284" s="112" t="s">
        <v>463</v>
      </c>
      <c r="D284" s="113"/>
      <c r="E284" s="113"/>
      <c r="F284" s="113"/>
      <c r="G284" s="113"/>
      <c r="H284" s="113"/>
      <c r="I284" s="113"/>
      <c r="J284" s="113"/>
      <c r="K284" s="113"/>
      <c r="L284" s="113"/>
    </row>
    <row r="285" spans="1:48" x14ac:dyDescent="0.2">
      <c r="A285" s="6" t="s">
        <v>102</v>
      </c>
      <c r="B285" s="6" t="s">
        <v>229</v>
      </c>
      <c r="C285" s="6" t="s">
        <v>464</v>
      </c>
      <c r="D285" s="6" t="s">
        <v>527</v>
      </c>
      <c r="E285" s="21">
        <v>1</v>
      </c>
      <c r="F285" s="21">
        <v>0</v>
      </c>
      <c r="G285" s="21">
        <f>E285*AE285</f>
        <v>0</v>
      </c>
      <c r="H285" s="21">
        <f>I285-G285</f>
        <v>0</v>
      </c>
      <c r="I285" s="21">
        <f>E285*F285</f>
        <v>0</v>
      </c>
      <c r="J285" s="21">
        <v>5.1000000000000004E-3</v>
      </c>
      <c r="K285" s="21">
        <f>E285*J285</f>
        <v>5.1000000000000004E-3</v>
      </c>
      <c r="L285" s="32" t="s">
        <v>548</v>
      </c>
      <c r="P285" s="35">
        <f>IF(AG285="5",I285,0)</f>
        <v>0</v>
      </c>
      <c r="R285" s="35">
        <f>IF(AG285="1",G285,0)</f>
        <v>0</v>
      </c>
      <c r="S285" s="35">
        <f>IF(AG285="1",H285,0)</f>
        <v>0</v>
      </c>
      <c r="T285" s="35">
        <f>IF(AG285="7",G285,0)</f>
        <v>0</v>
      </c>
      <c r="U285" s="35">
        <f>IF(AG285="7",H285,0)</f>
        <v>0</v>
      </c>
      <c r="V285" s="35">
        <f>IF(AG285="2",G285,0)</f>
        <v>0</v>
      </c>
      <c r="W285" s="35">
        <f>IF(AG285="2",H285,0)</f>
        <v>0</v>
      </c>
      <c r="X285" s="35">
        <f>IF(AG285="0",I285,0)</f>
        <v>0</v>
      </c>
      <c r="Y285" s="28"/>
      <c r="Z285" s="21">
        <f>IF(AD285=0,I285,0)</f>
        <v>0</v>
      </c>
      <c r="AA285" s="21">
        <f>IF(AD285=15,I285,0)</f>
        <v>0</v>
      </c>
      <c r="AB285" s="21">
        <f>IF(AD285=21,I285,0)</f>
        <v>0</v>
      </c>
      <c r="AD285" s="35">
        <v>21</v>
      </c>
      <c r="AE285" s="35">
        <f>F285*1</f>
        <v>0</v>
      </c>
      <c r="AF285" s="35">
        <f>F285*(1-1)</f>
        <v>0</v>
      </c>
      <c r="AG285" s="32" t="s">
        <v>7</v>
      </c>
      <c r="AM285" s="35">
        <f>E285*AE285</f>
        <v>0</v>
      </c>
      <c r="AN285" s="35">
        <f>E285*AF285</f>
        <v>0</v>
      </c>
      <c r="AO285" s="36" t="s">
        <v>573</v>
      </c>
      <c r="AP285" s="36" t="s">
        <v>582</v>
      </c>
      <c r="AQ285" s="28" t="s">
        <v>584</v>
      </c>
      <c r="AS285" s="35">
        <f>AM285+AN285</f>
        <v>0</v>
      </c>
      <c r="AT285" s="35">
        <f>F285/(100-AU285)*100</f>
        <v>0</v>
      </c>
      <c r="AU285" s="35">
        <v>0</v>
      </c>
      <c r="AV285" s="35">
        <f>K285</f>
        <v>5.1000000000000004E-3</v>
      </c>
    </row>
    <row r="286" spans="1:48" x14ac:dyDescent="0.2">
      <c r="C286" s="15" t="s">
        <v>7</v>
      </c>
      <c r="E286" s="20">
        <v>1</v>
      </c>
    </row>
    <row r="287" spans="1:48" ht="38.450000000000003" customHeight="1" x14ac:dyDescent="0.2">
      <c r="B287" s="12" t="s">
        <v>133</v>
      </c>
      <c r="C287" s="112" t="s">
        <v>465</v>
      </c>
      <c r="D287" s="113"/>
      <c r="E287" s="113"/>
      <c r="F287" s="113"/>
      <c r="G287" s="113"/>
      <c r="H287" s="113"/>
      <c r="I287" s="113"/>
      <c r="J287" s="113"/>
      <c r="K287" s="113"/>
      <c r="L287" s="113"/>
    </row>
    <row r="288" spans="1:48" x14ac:dyDescent="0.2">
      <c r="A288" s="6" t="s">
        <v>103</v>
      </c>
      <c r="B288" s="6" t="s">
        <v>230</v>
      </c>
      <c r="C288" s="6" t="s">
        <v>466</v>
      </c>
      <c r="D288" s="6" t="s">
        <v>527</v>
      </c>
      <c r="E288" s="21">
        <v>1</v>
      </c>
      <c r="F288" s="21">
        <v>0</v>
      </c>
      <c r="G288" s="21">
        <f>E288*AE288</f>
        <v>0</v>
      </c>
      <c r="H288" s="21">
        <f>I288-G288</f>
        <v>0</v>
      </c>
      <c r="I288" s="21">
        <f>E288*F288</f>
        <v>0</v>
      </c>
      <c r="J288" s="21">
        <v>5.1000000000000004E-3</v>
      </c>
      <c r="K288" s="21">
        <f>E288*J288</f>
        <v>5.1000000000000004E-3</v>
      </c>
      <c r="L288" s="32" t="s">
        <v>548</v>
      </c>
      <c r="P288" s="35">
        <f>IF(AG288="5",I288,0)</f>
        <v>0</v>
      </c>
      <c r="R288" s="35">
        <f>IF(AG288="1",G288,0)</f>
        <v>0</v>
      </c>
      <c r="S288" s="35">
        <f>IF(AG288="1",H288,0)</f>
        <v>0</v>
      </c>
      <c r="T288" s="35">
        <f>IF(AG288="7",G288,0)</f>
        <v>0</v>
      </c>
      <c r="U288" s="35">
        <f>IF(AG288="7",H288,0)</f>
        <v>0</v>
      </c>
      <c r="V288" s="35">
        <f>IF(AG288="2",G288,0)</f>
        <v>0</v>
      </c>
      <c r="W288" s="35">
        <f>IF(AG288="2",H288,0)</f>
        <v>0</v>
      </c>
      <c r="X288" s="35">
        <f>IF(AG288="0",I288,0)</f>
        <v>0</v>
      </c>
      <c r="Y288" s="28"/>
      <c r="Z288" s="21">
        <f>IF(AD288=0,I288,0)</f>
        <v>0</v>
      </c>
      <c r="AA288" s="21">
        <f>IF(AD288=15,I288,0)</f>
        <v>0</v>
      </c>
      <c r="AB288" s="21">
        <f>IF(AD288=21,I288,0)</f>
        <v>0</v>
      </c>
      <c r="AD288" s="35">
        <v>21</v>
      </c>
      <c r="AE288" s="35">
        <f>F288*1</f>
        <v>0</v>
      </c>
      <c r="AF288" s="35">
        <f>F288*(1-1)</f>
        <v>0</v>
      </c>
      <c r="AG288" s="32" t="s">
        <v>7</v>
      </c>
      <c r="AM288" s="35">
        <f>E288*AE288</f>
        <v>0</v>
      </c>
      <c r="AN288" s="35">
        <f>E288*AF288</f>
        <v>0</v>
      </c>
      <c r="AO288" s="36" t="s">
        <v>573</v>
      </c>
      <c r="AP288" s="36" t="s">
        <v>582</v>
      </c>
      <c r="AQ288" s="28" t="s">
        <v>584</v>
      </c>
      <c r="AS288" s="35">
        <f>AM288+AN288</f>
        <v>0</v>
      </c>
      <c r="AT288" s="35">
        <f>F288/(100-AU288)*100</f>
        <v>0</v>
      </c>
      <c r="AU288" s="35">
        <v>0</v>
      </c>
      <c r="AV288" s="35">
        <f>K288</f>
        <v>5.1000000000000004E-3</v>
      </c>
    </row>
    <row r="289" spans="1:48" x14ac:dyDescent="0.2">
      <c r="C289" s="15" t="s">
        <v>7</v>
      </c>
      <c r="E289" s="20">
        <v>1</v>
      </c>
    </row>
    <row r="290" spans="1:48" ht="38.450000000000003" customHeight="1" x14ac:dyDescent="0.2">
      <c r="B290" s="12" t="s">
        <v>133</v>
      </c>
      <c r="C290" s="112" t="s">
        <v>467</v>
      </c>
      <c r="D290" s="113"/>
      <c r="E290" s="113"/>
      <c r="F290" s="113"/>
      <c r="G290" s="113"/>
      <c r="H290" s="113"/>
      <c r="I290" s="113"/>
      <c r="J290" s="113"/>
      <c r="K290" s="113"/>
      <c r="L290" s="113"/>
    </row>
    <row r="291" spans="1:48" x14ac:dyDescent="0.2">
      <c r="A291" s="4" t="s">
        <v>104</v>
      </c>
      <c r="B291" s="4" t="s">
        <v>231</v>
      </c>
      <c r="C291" s="4" t="s">
        <v>468</v>
      </c>
      <c r="D291" s="4" t="s">
        <v>527</v>
      </c>
      <c r="E291" s="19">
        <v>1</v>
      </c>
      <c r="F291" s="19">
        <v>0</v>
      </c>
      <c r="G291" s="19">
        <f>E291*AE291</f>
        <v>0</v>
      </c>
      <c r="H291" s="19">
        <f>I291-G291</f>
        <v>0</v>
      </c>
      <c r="I291" s="19">
        <f>E291*F291</f>
        <v>0</v>
      </c>
      <c r="J291" s="19">
        <v>0.25</v>
      </c>
      <c r="K291" s="19">
        <f>E291*J291</f>
        <v>0.25</v>
      </c>
      <c r="L291" s="31" t="s">
        <v>548</v>
      </c>
      <c r="P291" s="35">
        <f>IF(AG291="5",I291,0)</f>
        <v>0</v>
      </c>
      <c r="R291" s="35">
        <f>IF(AG291="1",G291,0)</f>
        <v>0</v>
      </c>
      <c r="S291" s="35">
        <f>IF(AG291="1",H291,0)</f>
        <v>0</v>
      </c>
      <c r="T291" s="35">
        <f>IF(AG291="7",G291,0)</f>
        <v>0</v>
      </c>
      <c r="U291" s="35">
        <f>IF(AG291="7",H291,0)</f>
        <v>0</v>
      </c>
      <c r="V291" s="35">
        <f>IF(AG291="2",G291,0)</f>
        <v>0</v>
      </c>
      <c r="W291" s="35">
        <f>IF(AG291="2",H291,0)</f>
        <v>0</v>
      </c>
      <c r="X291" s="35">
        <f>IF(AG291="0",I291,0)</f>
        <v>0</v>
      </c>
      <c r="Y291" s="28"/>
      <c r="Z291" s="19">
        <f>IF(AD291=0,I291,0)</f>
        <v>0</v>
      </c>
      <c r="AA291" s="19">
        <f>IF(AD291=15,I291,0)</f>
        <v>0</v>
      </c>
      <c r="AB291" s="19">
        <f>IF(AD291=21,I291,0)</f>
        <v>0</v>
      </c>
      <c r="AD291" s="35">
        <v>21</v>
      </c>
      <c r="AE291" s="35">
        <f>F291*0.406719056180683</f>
        <v>0</v>
      </c>
      <c r="AF291" s="35">
        <f>F291*(1-0.406719056180683)</f>
        <v>0</v>
      </c>
      <c r="AG291" s="31" t="s">
        <v>7</v>
      </c>
      <c r="AM291" s="35">
        <f>E291*AE291</f>
        <v>0</v>
      </c>
      <c r="AN291" s="35">
        <f>E291*AF291</f>
        <v>0</v>
      </c>
      <c r="AO291" s="36" t="s">
        <v>573</v>
      </c>
      <c r="AP291" s="36" t="s">
        <v>582</v>
      </c>
      <c r="AQ291" s="28" t="s">
        <v>584</v>
      </c>
      <c r="AS291" s="35">
        <f>AM291+AN291</f>
        <v>0</v>
      </c>
      <c r="AT291" s="35">
        <f>F291/(100-AU291)*100</f>
        <v>0</v>
      </c>
      <c r="AU291" s="35">
        <v>0</v>
      </c>
      <c r="AV291" s="35">
        <f>K291</f>
        <v>0.25</v>
      </c>
    </row>
    <row r="292" spans="1:48" x14ac:dyDescent="0.2">
      <c r="C292" s="15" t="s">
        <v>7</v>
      </c>
      <c r="E292" s="20">
        <v>1</v>
      </c>
    </row>
    <row r="293" spans="1:48" x14ac:dyDescent="0.2">
      <c r="B293" s="12" t="s">
        <v>133</v>
      </c>
      <c r="C293" s="112" t="s">
        <v>469</v>
      </c>
      <c r="D293" s="113"/>
      <c r="E293" s="113"/>
      <c r="F293" s="113"/>
      <c r="G293" s="113"/>
      <c r="H293" s="113"/>
      <c r="I293" s="113"/>
      <c r="J293" s="113"/>
      <c r="K293" s="113"/>
      <c r="L293" s="113"/>
    </row>
    <row r="294" spans="1:48" x14ac:dyDescent="0.2">
      <c r="A294" s="6" t="s">
        <v>105</v>
      </c>
      <c r="B294" s="6" t="s">
        <v>232</v>
      </c>
      <c r="C294" s="6" t="s">
        <v>470</v>
      </c>
      <c r="D294" s="6" t="s">
        <v>527</v>
      </c>
      <c r="E294" s="21">
        <v>1</v>
      </c>
      <c r="F294" s="21">
        <v>0</v>
      </c>
      <c r="G294" s="21">
        <f>E294*AE294</f>
        <v>0</v>
      </c>
      <c r="H294" s="21">
        <f>I294-G294</f>
        <v>0</v>
      </c>
      <c r="I294" s="21">
        <f>E294*F294</f>
        <v>0</v>
      </c>
      <c r="J294" s="21">
        <v>5.4999999999999997E-3</v>
      </c>
      <c r="K294" s="21">
        <f>E294*J294</f>
        <v>5.4999999999999997E-3</v>
      </c>
      <c r="L294" s="32" t="s">
        <v>548</v>
      </c>
      <c r="P294" s="35">
        <f>IF(AG294="5",I294,0)</f>
        <v>0</v>
      </c>
      <c r="R294" s="35">
        <f>IF(AG294="1",G294,0)</f>
        <v>0</v>
      </c>
      <c r="S294" s="35">
        <f>IF(AG294="1",H294,0)</f>
        <v>0</v>
      </c>
      <c r="T294" s="35">
        <f>IF(AG294="7",G294,0)</f>
        <v>0</v>
      </c>
      <c r="U294" s="35">
        <f>IF(AG294="7",H294,0)</f>
        <v>0</v>
      </c>
      <c r="V294" s="35">
        <f>IF(AG294="2",G294,0)</f>
        <v>0</v>
      </c>
      <c r="W294" s="35">
        <f>IF(AG294="2",H294,0)</f>
        <v>0</v>
      </c>
      <c r="X294" s="35">
        <f>IF(AG294="0",I294,0)</f>
        <v>0</v>
      </c>
      <c r="Y294" s="28"/>
      <c r="Z294" s="21">
        <f>IF(AD294=0,I294,0)</f>
        <v>0</v>
      </c>
      <c r="AA294" s="21">
        <f>IF(AD294=15,I294,0)</f>
        <v>0</v>
      </c>
      <c r="AB294" s="21">
        <f>IF(AD294=21,I294,0)</f>
        <v>0</v>
      </c>
      <c r="AD294" s="35">
        <v>21</v>
      </c>
      <c r="AE294" s="35">
        <f>F294*1</f>
        <v>0</v>
      </c>
      <c r="AF294" s="35">
        <f>F294*(1-1)</f>
        <v>0</v>
      </c>
      <c r="AG294" s="32" t="s">
        <v>7</v>
      </c>
      <c r="AM294" s="35">
        <f>E294*AE294</f>
        <v>0</v>
      </c>
      <c r="AN294" s="35">
        <f>E294*AF294</f>
        <v>0</v>
      </c>
      <c r="AO294" s="36" t="s">
        <v>573</v>
      </c>
      <c r="AP294" s="36" t="s">
        <v>582</v>
      </c>
      <c r="AQ294" s="28" t="s">
        <v>584</v>
      </c>
      <c r="AS294" s="35">
        <f>AM294+AN294</f>
        <v>0</v>
      </c>
      <c r="AT294" s="35">
        <f>F294/(100-AU294)*100</f>
        <v>0</v>
      </c>
      <c r="AU294" s="35">
        <v>0</v>
      </c>
      <c r="AV294" s="35">
        <f>K294</f>
        <v>5.4999999999999997E-3</v>
      </c>
    </row>
    <row r="295" spans="1:48" x14ac:dyDescent="0.2">
      <c r="C295" s="15" t="s">
        <v>7</v>
      </c>
      <c r="E295" s="20">
        <v>1</v>
      </c>
    </row>
    <row r="296" spans="1:48" x14ac:dyDescent="0.2">
      <c r="B296" s="12" t="s">
        <v>133</v>
      </c>
      <c r="C296" s="112" t="s">
        <v>471</v>
      </c>
      <c r="D296" s="113"/>
      <c r="E296" s="113"/>
      <c r="F296" s="113"/>
      <c r="G296" s="113"/>
      <c r="H296" s="113"/>
      <c r="I296" s="113"/>
      <c r="J296" s="113"/>
      <c r="K296" s="113"/>
      <c r="L296" s="113"/>
    </row>
    <row r="297" spans="1:48" x14ac:dyDescent="0.2">
      <c r="A297" s="6" t="s">
        <v>106</v>
      </c>
      <c r="B297" s="6" t="s">
        <v>233</v>
      </c>
      <c r="C297" s="6" t="s">
        <v>472</v>
      </c>
      <c r="D297" s="6" t="s">
        <v>527</v>
      </c>
      <c r="E297" s="21">
        <v>1</v>
      </c>
      <c r="F297" s="21">
        <v>0</v>
      </c>
      <c r="G297" s="21">
        <f>E297*AE297</f>
        <v>0</v>
      </c>
      <c r="H297" s="21">
        <f>I297-G297</f>
        <v>0</v>
      </c>
      <c r="I297" s="21">
        <f>E297*F297</f>
        <v>0</v>
      </c>
      <c r="J297" s="21">
        <v>3.0000000000000001E-3</v>
      </c>
      <c r="K297" s="21">
        <f>E297*J297</f>
        <v>3.0000000000000001E-3</v>
      </c>
      <c r="L297" s="32" t="s">
        <v>548</v>
      </c>
      <c r="P297" s="35">
        <f>IF(AG297="5",I297,0)</f>
        <v>0</v>
      </c>
      <c r="R297" s="35">
        <f>IF(AG297="1",G297,0)</f>
        <v>0</v>
      </c>
      <c r="S297" s="35">
        <f>IF(AG297="1",H297,0)</f>
        <v>0</v>
      </c>
      <c r="T297" s="35">
        <f>IF(AG297="7",G297,0)</f>
        <v>0</v>
      </c>
      <c r="U297" s="35">
        <f>IF(AG297="7",H297,0)</f>
        <v>0</v>
      </c>
      <c r="V297" s="35">
        <f>IF(AG297="2",G297,0)</f>
        <v>0</v>
      </c>
      <c r="W297" s="35">
        <f>IF(AG297="2",H297,0)</f>
        <v>0</v>
      </c>
      <c r="X297" s="35">
        <f>IF(AG297="0",I297,0)</f>
        <v>0</v>
      </c>
      <c r="Y297" s="28"/>
      <c r="Z297" s="21">
        <f>IF(AD297=0,I297,0)</f>
        <v>0</v>
      </c>
      <c r="AA297" s="21">
        <f>IF(AD297=15,I297,0)</f>
        <v>0</v>
      </c>
      <c r="AB297" s="21">
        <f>IF(AD297=21,I297,0)</f>
        <v>0</v>
      </c>
      <c r="AD297" s="35">
        <v>21</v>
      </c>
      <c r="AE297" s="35">
        <f>F297*1</f>
        <v>0</v>
      </c>
      <c r="AF297" s="35">
        <f>F297*(1-1)</f>
        <v>0</v>
      </c>
      <c r="AG297" s="32" t="s">
        <v>7</v>
      </c>
      <c r="AM297" s="35">
        <f>E297*AE297</f>
        <v>0</v>
      </c>
      <c r="AN297" s="35">
        <f>E297*AF297</f>
        <v>0</v>
      </c>
      <c r="AO297" s="36" t="s">
        <v>573</v>
      </c>
      <c r="AP297" s="36" t="s">
        <v>582</v>
      </c>
      <c r="AQ297" s="28" t="s">
        <v>584</v>
      </c>
      <c r="AS297" s="35">
        <f>AM297+AN297</f>
        <v>0</v>
      </c>
      <c r="AT297" s="35">
        <f>F297/(100-AU297)*100</f>
        <v>0</v>
      </c>
      <c r="AU297" s="35">
        <v>0</v>
      </c>
      <c r="AV297" s="35">
        <f>K297</f>
        <v>3.0000000000000001E-3</v>
      </c>
    </row>
    <row r="298" spans="1:48" x14ac:dyDescent="0.2">
      <c r="C298" s="15" t="s">
        <v>7</v>
      </c>
      <c r="E298" s="20">
        <v>1</v>
      </c>
    </row>
    <row r="299" spans="1:48" ht="25.7" customHeight="1" x14ac:dyDescent="0.2">
      <c r="B299" s="12" t="s">
        <v>133</v>
      </c>
      <c r="C299" s="112" t="s">
        <v>473</v>
      </c>
      <c r="D299" s="113"/>
      <c r="E299" s="113"/>
      <c r="F299" s="113"/>
      <c r="G299" s="113"/>
      <c r="H299" s="113"/>
      <c r="I299" s="113"/>
      <c r="J299" s="113"/>
      <c r="K299" s="113"/>
      <c r="L299" s="113"/>
    </row>
    <row r="300" spans="1:48" x14ac:dyDescent="0.2">
      <c r="A300" s="4" t="s">
        <v>107</v>
      </c>
      <c r="B300" s="4" t="s">
        <v>234</v>
      </c>
      <c r="C300" s="4" t="s">
        <v>474</v>
      </c>
      <c r="D300" s="4" t="s">
        <v>527</v>
      </c>
      <c r="E300" s="19">
        <v>1</v>
      </c>
      <c r="F300" s="19">
        <v>0</v>
      </c>
      <c r="G300" s="19">
        <f>E300*AE300</f>
        <v>0</v>
      </c>
      <c r="H300" s="19">
        <f>I300-G300</f>
        <v>0</v>
      </c>
      <c r="I300" s="19">
        <f>E300*F300</f>
        <v>0</v>
      </c>
      <c r="J300" s="19">
        <v>0</v>
      </c>
      <c r="K300" s="19">
        <f>E300*J300</f>
        <v>0</v>
      </c>
      <c r="L300" s="31" t="s">
        <v>548</v>
      </c>
      <c r="P300" s="35">
        <f>IF(AG300="5",I300,0)</f>
        <v>0</v>
      </c>
      <c r="R300" s="35">
        <f>IF(AG300="1",G300,0)</f>
        <v>0</v>
      </c>
      <c r="S300" s="35">
        <f>IF(AG300="1",H300,0)</f>
        <v>0</v>
      </c>
      <c r="T300" s="35">
        <f>IF(AG300="7",G300,0)</f>
        <v>0</v>
      </c>
      <c r="U300" s="35">
        <f>IF(AG300="7",H300,0)</f>
        <v>0</v>
      </c>
      <c r="V300" s="35">
        <f>IF(AG300="2",G300,0)</f>
        <v>0</v>
      </c>
      <c r="W300" s="35">
        <f>IF(AG300="2",H300,0)</f>
        <v>0</v>
      </c>
      <c r="X300" s="35">
        <f>IF(AG300="0",I300,0)</f>
        <v>0</v>
      </c>
      <c r="Y300" s="28"/>
      <c r="Z300" s="19">
        <f>IF(AD300=0,I300,0)</f>
        <v>0</v>
      </c>
      <c r="AA300" s="19">
        <f>IF(AD300=15,I300,0)</f>
        <v>0</v>
      </c>
      <c r="AB300" s="19">
        <f>IF(AD300=21,I300,0)</f>
        <v>0</v>
      </c>
      <c r="AD300" s="35">
        <v>21</v>
      </c>
      <c r="AE300" s="35">
        <f>F300*0.613945486801785</f>
        <v>0</v>
      </c>
      <c r="AF300" s="35">
        <f>F300*(1-0.613945486801785)</f>
        <v>0</v>
      </c>
      <c r="AG300" s="31" t="s">
        <v>7</v>
      </c>
      <c r="AM300" s="35">
        <f>E300*AE300</f>
        <v>0</v>
      </c>
      <c r="AN300" s="35">
        <f>E300*AF300</f>
        <v>0</v>
      </c>
      <c r="AO300" s="36" t="s">
        <v>573</v>
      </c>
      <c r="AP300" s="36" t="s">
        <v>582</v>
      </c>
      <c r="AQ300" s="28" t="s">
        <v>584</v>
      </c>
      <c r="AS300" s="35">
        <f>AM300+AN300</f>
        <v>0</v>
      </c>
      <c r="AT300" s="35">
        <f>F300/(100-AU300)*100</f>
        <v>0</v>
      </c>
      <c r="AU300" s="35">
        <v>0</v>
      </c>
      <c r="AV300" s="35">
        <f>K300</f>
        <v>0</v>
      </c>
    </row>
    <row r="301" spans="1:48" x14ac:dyDescent="0.2">
      <c r="C301" s="15" t="s">
        <v>7</v>
      </c>
      <c r="E301" s="20">
        <v>1</v>
      </c>
    </row>
    <row r="302" spans="1:48" x14ac:dyDescent="0.2">
      <c r="B302" s="12" t="s">
        <v>133</v>
      </c>
      <c r="C302" s="112" t="s">
        <v>461</v>
      </c>
      <c r="D302" s="113"/>
      <c r="E302" s="113"/>
      <c r="F302" s="113"/>
      <c r="G302" s="113"/>
      <c r="H302" s="113"/>
      <c r="I302" s="113"/>
      <c r="J302" s="113"/>
      <c r="K302" s="113"/>
      <c r="L302" s="113"/>
    </row>
    <row r="303" spans="1:48" x14ac:dyDescent="0.2">
      <c r="A303" s="4" t="s">
        <v>108</v>
      </c>
      <c r="B303" s="4" t="s">
        <v>235</v>
      </c>
      <c r="C303" s="4" t="s">
        <v>475</v>
      </c>
      <c r="D303" s="4" t="s">
        <v>524</v>
      </c>
      <c r="E303" s="19">
        <v>71</v>
      </c>
      <c r="F303" s="19">
        <v>0</v>
      </c>
      <c r="G303" s="19">
        <f>E303*AE303</f>
        <v>0</v>
      </c>
      <c r="H303" s="19">
        <f>I303-G303</f>
        <v>0</v>
      </c>
      <c r="I303" s="19">
        <f>E303*F303</f>
        <v>0</v>
      </c>
      <c r="J303" s="19">
        <v>9.3000000000000005E-4</v>
      </c>
      <c r="K303" s="19">
        <f>E303*J303</f>
        <v>6.6030000000000005E-2</v>
      </c>
      <c r="L303" s="31" t="s">
        <v>548</v>
      </c>
      <c r="P303" s="35">
        <f>IF(AG303="5",I303,0)</f>
        <v>0</v>
      </c>
      <c r="R303" s="35">
        <f>IF(AG303="1",G303,0)</f>
        <v>0</v>
      </c>
      <c r="S303" s="35">
        <f>IF(AG303="1",H303,0)</f>
        <v>0</v>
      </c>
      <c r="T303" s="35">
        <f>IF(AG303="7",G303,0)</f>
        <v>0</v>
      </c>
      <c r="U303" s="35">
        <f>IF(AG303="7",H303,0)</f>
        <v>0</v>
      </c>
      <c r="V303" s="35">
        <f>IF(AG303="2",G303,0)</f>
        <v>0</v>
      </c>
      <c r="W303" s="35">
        <f>IF(AG303="2",H303,0)</f>
        <v>0</v>
      </c>
      <c r="X303" s="35">
        <f>IF(AG303="0",I303,0)</f>
        <v>0</v>
      </c>
      <c r="Y303" s="28"/>
      <c r="Z303" s="19">
        <f>IF(AD303=0,I303,0)</f>
        <v>0</v>
      </c>
      <c r="AA303" s="19">
        <f>IF(AD303=15,I303,0)</f>
        <v>0</v>
      </c>
      <c r="AB303" s="19">
        <f>IF(AD303=21,I303,0)</f>
        <v>0</v>
      </c>
      <c r="AD303" s="35">
        <v>21</v>
      </c>
      <c r="AE303" s="35">
        <f>F303*0.72890664003994</f>
        <v>0</v>
      </c>
      <c r="AF303" s="35">
        <f>F303*(1-0.72890664003994)</f>
        <v>0</v>
      </c>
      <c r="AG303" s="31" t="s">
        <v>7</v>
      </c>
      <c r="AM303" s="35">
        <f>E303*AE303</f>
        <v>0</v>
      </c>
      <c r="AN303" s="35">
        <f>E303*AF303</f>
        <v>0</v>
      </c>
      <c r="AO303" s="36" t="s">
        <v>573</v>
      </c>
      <c r="AP303" s="36" t="s">
        <v>582</v>
      </c>
      <c r="AQ303" s="28" t="s">
        <v>584</v>
      </c>
      <c r="AS303" s="35">
        <f>AM303+AN303</f>
        <v>0</v>
      </c>
      <c r="AT303" s="35">
        <f>F303/(100-AU303)*100</f>
        <v>0</v>
      </c>
      <c r="AU303" s="35">
        <v>0</v>
      </c>
      <c r="AV303" s="35">
        <f>K303</f>
        <v>6.6030000000000005E-2</v>
      </c>
    </row>
    <row r="304" spans="1:48" x14ac:dyDescent="0.2">
      <c r="C304" s="15" t="s">
        <v>476</v>
      </c>
      <c r="E304" s="20">
        <v>71</v>
      </c>
    </row>
    <row r="305" spans="1:48" x14ac:dyDescent="0.2">
      <c r="B305" s="12" t="s">
        <v>133</v>
      </c>
      <c r="C305" s="112" t="s">
        <v>477</v>
      </c>
      <c r="D305" s="113"/>
      <c r="E305" s="113"/>
      <c r="F305" s="113"/>
      <c r="G305" s="113"/>
      <c r="H305" s="113"/>
      <c r="I305" s="113"/>
      <c r="J305" s="113"/>
      <c r="K305" s="113"/>
      <c r="L305" s="113"/>
    </row>
    <row r="306" spans="1:48" x14ac:dyDescent="0.2">
      <c r="A306" s="4" t="s">
        <v>109</v>
      </c>
      <c r="B306" s="4" t="s">
        <v>236</v>
      </c>
      <c r="C306" s="4" t="s">
        <v>478</v>
      </c>
      <c r="D306" s="4" t="s">
        <v>524</v>
      </c>
      <c r="E306" s="19">
        <v>147</v>
      </c>
      <c r="F306" s="19">
        <v>0</v>
      </c>
      <c r="G306" s="19">
        <f>E306*AE306</f>
        <v>0</v>
      </c>
      <c r="H306" s="19">
        <f>I306-G306</f>
        <v>0</v>
      </c>
      <c r="I306" s="19">
        <f>E306*F306</f>
        <v>0</v>
      </c>
      <c r="J306" s="19">
        <v>4.4000000000000002E-4</v>
      </c>
      <c r="K306" s="19">
        <f>E306*J306</f>
        <v>6.4680000000000001E-2</v>
      </c>
      <c r="L306" s="31" t="s">
        <v>548</v>
      </c>
      <c r="P306" s="35">
        <f>IF(AG306="5",I306,0)</f>
        <v>0</v>
      </c>
      <c r="R306" s="35">
        <f>IF(AG306="1",G306,0)</f>
        <v>0</v>
      </c>
      <c r="S306" s="35">
        <f>IF(AG306="1",H306,0)</f>
        <v>0</v>
      </c>
      <c r="T306" s="35">
        <f>IF(AG306="7",G306,0)</f>
        <v>0</v>
      </c>
      <c r="U306" s="35">
        <f>IF(AG306="7",H306,0)</f>
        <v>0</v>
      </c>
      <c r="V306" s="35">
        <f>IF(AG306="2",G306,0)</f>
        <v>0</v>
      </c>
      <c r="W306" s="35">
        <f>IF(AG306="2",H306,0)</f>
        <v>0</v>
      </c>
      <c r="X306" s="35">
        <f>IF(AG306="0",I306,0)</f>
        <v>0</v>
      </c>
      <c r="Y306" s="28"/>
      <c r="Z306" s="19">
        <f>IF(AD306=0,I306,0)</f>
        <v>0</v>
      </c>
      <c r="AA306" s="19">
        <f>IF(AD306=15,I306,0)</f>
        <v>0</v>
      </c>
      <c r="AB306" s="19">
        <f>IF(AD306=21,I306,0)</f>
        <v>0</v>
      </c>
      <c r="AD306" s="35">
        <v>21</v>
      </c>
      <c r="AE306" s="35">
        <f>F306*0.643667586629868</f>
        <v>0</v>
      </c>
      <c r="AF306" s="35">
        <f>F306*(1-0.643667586629868)</f>
        <v>0</v>
      </c>
      <c r="AG306" s="31" t="s">
        <v>7</v>
      </c>
      <c r="AM306" s="35">
        <f>E306*AE306</f>
        <v>0</v>
      </c>
      <c r="AN306" s="35">
        <f>E306*AF306</f>
        <v>0</v>
      </c>
      <c r="AO306" s="36" t="s">
        <v>573</v>
      </c>
      <c r="AP306" s="36" t="s">
        <v>582</v>
      </c>
      <c r="AQ306" s="28" t="s">
        <v>584</v>
      </c>
      <c r="AS306" s="35">
        <f>AM306+AN306</f>
        <v>0</v>
      </c>
      <c r="AT306" s="35">
        <f>F306/(100-AU306)*100</f>
        <v>0</v>
      </c>
      <c r="AU306" s="35">
        <v>0</v>
      </c>
      <c r="AV306" s="35">
        <f>K306</f>
        <v>6.4680000000000001E-2</v>
      </c>
    </row>
    <row r="307" spans="1:48" x14ac:dyDescent="0.2">
      <c r="C307" s="15" t="s">
        <v>119</v>
      </c>
      <c r="E307" s="20">
        <v>113</v>
      </c>
    </row>
    <row r="308" spans="1:48" x14ac:dyDescent="0.2">
      <c r="C308" s="15" t="s">
        <v>479</v>
      </c>
      <c r="E308" s="20">
        <v>34</v>
      </c>
    </row>
    <row r="309" spans="1:48" x14ac:dyDescent="0.2">
      <c r="B309" s="12" t="s">
        <v>133</v>
      </c>
      <c r="C309" s="112" t="s">
        <v>477</v>
      </c>
      <c r="D309" s="113"/>
      <c r="E309" s="113"/>
      <c r="F309" s="113"/>
      <c r="G309" s="113"/>
      <c r="H309" s="113"/>
      <c r="I309" s="113"/>
      <c r="J309" s="113"/>
      <c r="K309" s="113"/>
      <c r="L309" s="113"/>
    </row>
    <row r="310" spans="1:48" x14ac:dyDescent="0.2">
      <c r="A310" s="4" t="s">
        <v>110</v>
      </c>
      <c r="B310" s="4" t="s">
        <v>237</v>
      </c>
      <c r="C310" s="4" t="s">
        <v>480</v>
      </c>
      <c r="D310" s="4" t="s">
        <v>523</v>
      </c>
      <c r="E310" s="19">
        <v>58</v>
      </c>
      <c r="F310" s="19">
        <v>0</v>
      </c>
      <c r="G310" s="19">
        <f>E310*AE310</f>
        <v>0</v>
      </c>
      <c r="H310" s="19">
        <f>I310-G310</f>
        <v>0</v>
      </c>
      <c r="I310" s="19">
        <f>E310*F310</f>
        <v>0</v>
      </c>
      <c r="J310" s="19">
        <v>3.7000000000000002E-3</v>
      </c>
      <c r="K310" s="19">
        <f>E310*J310</f>
        <v>0.21460000000000001</v>
      </c>
      <c r="L310" s="31" t="s">
        <v>548</v>
      </c>
      <c r="P310" s="35">
        <f>IF(AG310="5",I310,0)</f>
        <v>0</v>
      </c>
      <c r="R310" s="35">
        <f>IF(AG310="1",G310,0)</f>
        <v>0</v>
      </c>
      <c r="S310" s="35">
        <f>IF(AG310="1",H310,0)</f>
        <v>0</v>
      </c>
      <c r="T310" s="35">
        <f>IF(AG310="7",G310,0)</f>
        <v>0</v>
      </c>
      <c r="U310" s="35">
        <f>IF(AG310="7",H310,0)</f>
        <v>0</v>
      </c>
      <c r="V310" s="35">
        <f>IF(AG310="2",G310,0)</f>
        <v>0</v>
      </c>
      <c r="W310" s="35">
        <f>IF(AG310="2",H310,0)</f>
        <v>0</v>
      </c>
      <c r="X310" s="35">
        <f>IF(AG310="0",I310,0)</f>
        <v>0</v>
      </c>
      <c r="Y310" s="28"/>
      <c r="Z310" s="19">
        <f>IF(AD310=0,I310,0)</f>
        <v>0</v>
      </c>
      <c r="AA310" s="19">
        <f>IF(AD310=15,I310,0)</f>
        <v>0</v>
      </c>
      <c r="AB310" s="19">
        <f>IF(AD310=21,I310,0)</f>
        <v>0</v>
      </c>
      <c r="AD310" s="35">
        <v>21</v>
      </c>
      <c r="AE310" s="35">
        <f>F310*0.447458492975734</f>
        <v>0</v>
      </c>
      <c r="AF310" s="35">
        <f>F310*(1-0.447458492975734)</f>
        <v>0</v>
      </c>
      <c r="AG310" s="31" t="s">
        <v>7</v>
      </c>
      <c r="AM310" s="35">
        <f>E310*AE310</f>
        <v>0</v>
      </c>
      <c r="AN310" s="35">
        <f>E310*AF310</f>
        <v>0</v>
      </c>
      <c r="AO310" s="36" t="s">
        <v>573</v>
      </c>
      <c r="AP310" s="36" t="s">
        <v>582</v>
      </c>
      <c r="AQ310" s="28" t="s">
        <v>584</v>
      </c>
      <c r="AS310" s="35">
        <f>AM310+AN310</f>
        <v>0</v>
      </c>
      <c r="AT310" s="35">
        <f>F310/(100-AU310)*100</f>
        <v>0</v>
      </c>
      <c r="AU310" s="35">
        <v>0</v>
      </c>
      <c r="AV310" s="35">
        <f>K310</f>
        <v>0.21460000000000001</v>
      </c>
    </row>
    <row r="311" spans="1:48" x14ac:dyDescent="0.2">
      <c r="C311" s="15" t="s">
        <v>481</v>
      </c>
      <c r="E311" s="20">
        <v>21</v>
      </c>
    </row>
    <row r="312" spans="1:48" x14ac:dyDescent="0.2">
      <c r="C312" s="15" t="s">
        <v>482</v>
      </c>
      <c r="E312" s="20">
        <v>9</v>
      </c>
    </row>
    <row r="313" spans="1:48" x14ac:dyDescent="0.2">
      <c r="C313" s="15" t="s">
        <v>483</v>
      </c>
      <c r="E313" s="20">
        <v>20</v>
      </c>
    </row>
    <row r="314" spans="1:48" x14ac:dyDescent="0.2">
      <c r="C314" s="15" t="s">
        <v>484</v>
      </c>
      <c r="E314" s="20">
        <v>8</v>
      </c>
    </row>
    <row r="315" spans="1:48" x14ac:dyDescent="0.2">
      <c r="B315" s="12" t="s">
        <v>133</v>
      </c>
      <c r="C315" s="112" t="s">
        <v>477</v>
      </c>
      <c r="D315" s="113"/>
      <c r="E315" s="113"/>
      <c r="F315" s="113"/>
      <c r="G315" s="113"/>
      <c r="H315" s="113"/>
      <c r="I315" s="113"/>
      <c r="J315" s="113"/>
      <c r="K315" s="113"/>
      <c r="L315" s="113"/>
    </row>
    <row r="316" spans="1:48" x14ac:dyDescent="0.2">
      <c r="A316" s="4" t="s">
        <v>111</v>
      </c>
      <c r="B316" s="4" t="s">
        <v>238</v>
      </c>
      <c r="C316" s="4" t="s">
        <v>485</v>
      </c>
      <c r="D316" s="4" t="s">
        <v>524</v>
      </c>
      <c r="E316" s="19">
        <v>218</v>
      </c>
      <c r="F316" s="19">
        <v>0</v>
      </c>
      <c r="G316" s="19">
        <f>E316*AE316</f>
        <v>0</v>
      </c>
      <c r="H316" s="19">
        <f>I316-G316</f>
        <v>0</v>
      </c>
      <c r="I316" s="19">
        <f>E316*F316</f>
        <v>0</v>
      </c>
      <c r="J316" s="19">
        <v>0</v>
      </c>
      <c r="K316" s="19">
        <f>E316*J316</f>
        <v>0</v>
      </c>
      <c r="L316" s="31" t="s">
        <v>548</v>
      </c>
      <c r="P316" s="35">
        <f>IF(AG316="5",I316,0)</f>
        <v>0</v>
      </c>
      <c r="R316" s="35">
        <f>IF(AG316="1",G316,0)</f>
        <v>0</v>
      </c>
      <c r="S316" s="35">
        <f>IF(AG316="1",H316,0)</f>
        <v>0</v>
      </c>
      <c r="T316" s="35">
        <f>IF(AG316="7",G316,0)</f>
        <v>0</v>
      </c>
      <c r="U316" s="35">
        <f>IF(AG316="7",H316,0)</f>
        <v>0</v>
      </c>
      <c r="V316" s="35">
        <f>IF(AG316="2",G316,0)</f>
        <v>0</v>
      </c>
      <c r="W316" s="35">
        <f>IF(AG316="2",H316,0)</f>
        <v>0</v>
      </c>
      <c r="X316" s="35">
        <f>IF(AG316="0",I316,0)</f>
        <v>0</v>
      </c>
      <c r="Y316" s="28"/>
      <c r="Z316" s="19">
        <f>IF(AD316=0,I316,0)</f>
        <v>0</v>
      </c>
      <c r="AA316" s="19">
        <f>IF(AD316=15,I316,0)</f>
        <v>0</v>
      </c>
      <c r="AB316" s="19">
        <f>IF(AD316=21,I316,0)</f>
        <v>0</v>
      </c>
      <c r="AD316" s="35">
        <v>21</v>
      </c>
      <c r="AE316" s="35">
        <f>F316*0.103950103950104</f>
        <v>0</v>
      </c>
      <c r="AF316" s="35">
        <f>F316*(1-0.103950103950104)</f>
        <v>0</v>
      </c>
      <c r="AG316" s="31" t="s">
        <v>7</v>
      </c>
      <c r="AM316" s="35">
        <f>E316*AE316</f>
        <v>0</v>
      </c>
      <c r="AN316" s="35">
        <f>E316*AF316</f>
        <v>0</v>
      </c>
      <c r="AO316" s="36" t="s">
        <v>573</v>
      </c>
      <c r="AP316" s="36" t="s">
        <v>582</v>
      </c>
      <c r="AQ316" s="28" t="s">
        <v>584</v>
      </c>
      <c r="AS316" s="35">
        <f>AM316+AN316</f>
        <v>0</v>
      </c>
      <c r="AT316" s="35">
        <f>F316/(100-AU316)*100</f>
        <v>0</v>
      </c>
      <c r="AU316" s="35">
        <v>0</v>
      </c>
      <c r="AV316" s="35">
        <f>K316</f>
        <v>0</v>
      </c>
    </row>
    <row r="317" spans="1:48" x14ac:dyDescent="0.2">
      <c r="C317" s="15" t="s">
        <v>486</v>
      </c>
      <c r="E317" s="20">
        <v>218</v>
      </c>
    </row>
    <row r="318" spans="1:48" x14ac:dyDescent="0.2">
      <c r="A318" s="4" t="s">
        <v>112</v>
      </c>
      <c r="B318" s="4" t="s">
        <v>239</v>
      </c>
      <c r="C318" s="4" t="s">
        <v>487</v>
      </c>
      <c r="D318" s="4" t="s">
        <v>523</v>
      </c>
      <c r="E318" s="19">
        <v>58</v>
      </c>
      <c r="F318" s="19">
        <v>0</v>
      </c>
      <c r="G318" s="19">
        <f>E318*AE318</f>
        <v>0</v>
      </c>
      <c r="H318" s="19">
        <f>I318-G318</f>
        <v>0</v>
      </c>
      <c r="I318" s="19">
        <f>E318*F318</f>
        <v>0</v>
      </c>
      <c r="J318" s="19">
        <v>0</v>
      </c>
      <c r="K318" s="19">
        <f>E318*J318</f>
        <v>0</v>
      </c>
      <c r="L318" s="31" t="s">
        <v>548</v>
      </c>
      <c r="P318" s="35">
        <f>IF(AG318="5",I318,0)</f>
        <v>0</v>
      </c>
      <c r="R318" s="35">
        <f>IF(AG318="1",G318,0)</f>
        <v>0</v>
      </c>
      <c r="S318" s="35">
        <f>IF(AG318="1",H318,0)</f>
        <v>0</v>
      </c>
      <c r="T318" s="35">
        <f>IF(AG318="7",G318,0)</f>
        <v>0</v>
      </c>
      <c r="U318" s="35">
        <f>IF(AG318="7",H318,0)</f>
        <v>0</v>
      </c>
      <c r="V318" s="35">
        <f>IF(AG318="2",G318,0)</f>
        <v>0</v>
      </c>
      <c r="W318" s="35">
        <f>IF(AG318="2",H318,0)</f>
        <v>0</v>
      </c>
      <c r="X318" s="35">
        <f>IF(AG318="0",I318,0)</f>
        <v>0</v>
      </c>
      <c r="Y318" s="28"/>
      <c r="Z318" s="19">
        <f>IF(AD318=0,I318,0)</f>
        <v>0</v>
      </c>
      <c r="AA318" s="19">
        <f>IF(AD318=15,I318,0)</f>
        <v>0</v>
      </c>
      <c r="AB318" s="19">
        <f>IF(AD318=21,I318,0)</f>
        <v>0</v>
      </c>
      <c r="AD318" s="35">
        <v>21</v>
      </c>
      <c r="AE318" s="35">
        <f>F318*0.0053226879574185</f>
        <v>0</v>
      </c>
      <c r="AF318" s="35">
        <f>F318*(1-0.0053226879574185)</f>
        <v>0</v>
      </c>
      <c r="AG318" s="31" t="s">
        <v>7</v>
      </c>
      <c r="AM318" s="35">
        <f>E318*AE318</f>
        <v>0</v>
      </c>
      <c r="AN318" s="35">
        <f>E318*AF318</f>
        <v>0</v>
      </c>
      <c r="AO318" s="36" t="s">
        <v>573</v>
      </c>
      <c r="AP318" s="36" t="s">
        <v>582</v>
      </c>
      <c r="AQ318" s="28" t="s">
        <v>584</v>
      </c>
      <c r="AS318" s="35">
        <f>AM318+AN318</f>
        <v>0</v>
      </c>
      <c r="AT318" s="35">
        <f>F318/(100-AU318)*100</f>
        <v>0</v>
      </c>
      <c r="AU318" s="35">
        <v>0</v>
      </c>
      <c r="AV318" s="35">
        <f>K318</f>
        <v>0</v>
      </c>
    </row>
    <row r="319" spans="1:48" x14ac:dyDescent="0.2">
      <c r="C319" s="15" t="s">
        <v>488</v>
      </c>
      <c r="E319" s="20">
        <v>58</v>
      </c>
    </row>
    <row r="320" spans="1:48" x14ac:dyDescent="0.2">
      <c r="A320" s="4" t="s">
        <v>113</v>
      </c>
      <c r="B320" s="4" t="s">
        <v>240</v>
      </c>
      <c r="C320" s="4" t="s">
        <v>489</v>
      </c>
      <c r="D320" s="4" t="s">
        <v>523</v>
      </c>
      <c r="E320" s="19">
        <v>70</v>
      </c>
      <c r="F320" s="19">
        <v>0</v>
      </c>
      <c r="G320" s="19">
        <f>E320*AE320</f>
        <v>0</v>
      </c>
      <c r="H320" s="19">
        <f>I320-G320</f>
        <v>0</v>
      </c>
      <c r="I320" s="19">
        <f>E320*F320</f>
        <v>0</v>
      </c>
      <c r="J320" s="19">
        <v>7.6000000000000004E-4</v>
      </c>
      <c r="K320" s="19">
        <f>E320*J320</f>
        <v>5.3200000000000004E-2</v>
      </c>
      <c r="L320" s="31" t="s">
        <v>548</v>
      </c>
      <c r="P320" s="35">
        <f>IF(AG320="5",I320,0)</f>
        <v>0</v>
      </c>
      <c r="R320" s="35">
        <f>IF(AG320="1",G320,0)</f>
        <v>0</v>
      </c>
      <c r="S320" s="35">
        <f>IF(AG320="1",H320,0)</f>
        <v>0</v>
      </c>
      <c r="T320" s="35">
        <f>IF(AG320="7",G320,0)</f>
        <v>0</v>
      </c>
      <c r="U320" s="35">
        <f>IF(AG320="7",H320,0)</f>
        <v>0</v>
      </c>
      <c r="V320" s="35">
        <f>IF(AG320="2",G320,0)</f>
        <v>0</v>
      </c>
      <c r="W320" s="35">
        <f>IF(AG320="2",H320,0)</f>
        <v>0</v>
      </c>
      <c r="X320" s="35">
        <f>IF(AG320="0",I320,0)</f>
        <v>0</v>
      </c>
      <c r="Y320" s="28"/>
      <c r="Z320" s="19">
        <f>IF(AD320=0,I320,0)</f>
        <v>0</v>
      </c>
      <c r="AA320" s="19">
        <f>IF(AD320=15,I320,0)</f>
        <v>0</v>
      </c>
      <c r="AB320" s="19">
        <f>IF(AD320=21,I320,0)</f>
        <v>0</v>
      </c>
      <c r="AD320" s="35">
        <v>21</v>
      </c>
      <c r="AE320" s="35">
        <f>F320*0</f>
        <v>0</v>
      </c>
      <c r="AF320" s="35">
        <f>F320*(1-0)</f>
        <v>0</v>
      </c>
      <c r="AG320" s="31" t="s">
        <v>7</v>
      </c>
      <c r="AM320" s="35">
        <f>E320*AE320</f>
        <v>0</v>
      </c>
      <c r="AN320" s="35">
        <f>E320*AF320</f>
        <v>0</v>
      </c>
      <c r="AO320" s="36" t="s">
        <v>573</v>
      </c>
      <c r="AP320" s="36" t="s">
        <v>582</v>
      </c>
      <c r="AQ320" s="28" t="s">
        <v>584</v>
      </c>
      <c r="AS320" s="35">
        <f>AM320+AN320</f>
        <v>0</v>
      </c>
      <c r="AT320" s="35">
        <f>F320/(100-AU320)*100</f>
        <v>0</v>
      </c>
      <c r="AU320" s="35">
        <v>0</v>
      </c>
      <c r="AV320" s="35">
        <f>K320</f>
        <v>5.3200000000000004E-2</v>
      </c>
    </row>
    <row r="321" spans="1:48" x14ac:dyDescent="0.2">
      <c r="C321" s="15" t="s">
        <v>76</v>
      </c>
      <c r="E321" s="20">
        <v>70</v>
      </c>
    </row>
    <row r="322" spans="1:48" x14ac:dyDescent="0.2">
      <c r="A322" s="5"/>
      <c r="B322" s="13" t="s">
        <v>99</v>
      </c>
      <c r="C322" s="13" t="s">
        <v>490</v>
      </c>
      <c r="D322" s="5" t="s">
        <v>6</v>
      </c>
      <c r="E322" s="5" t="s">
        <v>6</v>
      </c>
      <c r="F322" s="5" t="s">
        <v>6</v>
      </c>
      <c r="G322" s="38">
        <f>SUM(G323:G323)</f>
        <v>0</v>
      </c>
      <c r="H322" s="38">
        <f>SUM(H323:H323)</f>
        <v>0</v>
      </c>
      <c r="I322" s="38">
        <f>G322+H322</f>
        <v>0</v>
      </c>
      <c r="J322" s="28"/>
      <c r="K322" s="38">
        <f>SUM(K323:K323)</f>
        <v>6.368E-2</v>
      </c>
      <c r="L322" s="28"/>
      <c r="Y322" s="28"/>
      <c r="AI322" s="38">
        <f>SUM(Z323:Z323)</f>
        <v>0</v>
      </c>
      <c r="AJ322" s="38">
        <f>SUM(AA323:AA323)</f>
        <v>0</v>
      </c>
      <c r="AK322" s="38">
        <f>SUM(AB323:AB323)</f>
        <v>0</v>
      </c>
    </row>
    <row r="323" spans="1:48" x14ac:dyDescent="0.2">
      <c r="A323" s="4" t="s">
        <v>114</v>
      </c>
      <c r="B323" s="4" t="s">
        <v>241</v>
      </c>
      <c r="C323" s="4" t="s">
        <v>491</v>
      </c>
      <c r="D323" s="4" t="s">
        <v>524</v>
      </c>
      <c r="E323" s="19">
        <v>2</v>
      </c>
      <c r="F323" s="19">
        <v>0</v>
      </c>
      <c r="G323" s="19">
        <f>E323*AE323</f>
        <v>0</v>
      </c>
      <c r="H323" s="19">
        <f>I323-G323</f>
        <v>0</v>
      </c>
      <c r="I323" s="19">
        <f>E323*F323</f>
        <v>0</v>
      </c>
      <c r="J323" s="19">
        <v>3.184E-2</v>
      </c>
      <c r="K323" s="19">
        <f>E323*J323</f>
        <v>6.368E-2</v>
      </c>
      <c r="L323" s="31" t="s">
        <v>548</v>
      </c>
      <c r="P323" s="35">
        <f>IF(AG323="5",I323,0)</f>
        <v>0</v>
      </c>
      <c r="R323" s="35">
        <f>IF(AG323="1",G323,0)</f>
        <v>0</v>
      </c>
      <c r="S323" s="35">
        <f>IF(AG323="1",H323,0)</f>
        <v>0</v>
      </c>
      <c r="T323" s="35">
        <f>IF(AG323="7",G323,0)</f>
        <v>0</v>
      </c>
      <c r="U323" s="35">
        <f>IF(AG323="7",H323,0)</f>
        <v>0</v>
      </c>
      <c r="V323" s="35">
        <f>IF(AG323="2",G323,0)</f>
        <v>0</v>
      </c>
      <c r="W323" s="35">
        <f>IF(AG323="2",H323,0)</f>
        <v>0</v>
      </c>
      <c r="X323" s="35">
        <f>IF(AG323="0",I323,0)</f>
        <v>0</v>
      </c>
      <c r="Y323" s="28"/>
      <c r="Z323" s="19">
        <f>IF(AD323=0,I323,0)</f>
        <v>0</v>
      </c>
      <c r="AA323" s="19">
        <f>IF(AD323=15,I323,0)</f>
        <v>0</v>
      </c>
      <c r="AB323" s="19">
        <f>IF(AD323=21,I323,0)</f>
        <v>0</v>
      </c>
      <c r="AD323" s="35">
        <v>21</v>
      </c>
      <c r="AE323" s="35">
        <f>F323*0.357841053973651</f>
        <v>0</v>
      </c>
      <c r="AF323" s="35">
        <f>F323*(1-0.357841053973651)</f>
        <v>0</v>
      </c>
      <c r="AG323" s="31" t="s">
        <v>7</v>
      </c>
      <c r="AM323" s="35">
        <f>E323*AE323</f>
        <v>0</v>
      </c>
      <c r="AN323" s="35">
        <f>E323*AF323</f>
        <v>0</v>
      </c>
      <c r="AO323" s="36" t="s">
        <v>574</v>
      </c>
      <c r="AP323" s="36" t="s">
        <v>582</v>
      </c>
      <c r="AQ323" s="28" t="s">
        <v>584</v>
      </c>
      <c r="AS323" s="35">
        <f>AM323+AN323</f>
        <v>0</v>
      </c>
      <c r="AT323" s="35">
        <f>F323/(100-AU323)*100</f>
        <v>0</v>
      </c>
      <c r="AU323" s="35">
        <v>0</v>
      </c>
      <c r="AV323" s="35">
        <f>K323</f>
        <v>6.368E-2</v>
      </c>
    </row>
    <row r="324" spans="1:48" x14ac:dyDescent="0.2">
      <c r="C324" s="15" t="s">
        <v>492</v>
      </c>
      <c r="E324" s="20">
        <v>2</v>
      </c>
    </row>
    <row r="325" spans="1:48" x14ac:dyDescent="0.2">
      <c r="A325" s="5"/>
      <c r="B325" s="13" t="s">
        <v>102</v>
      </c>
      <c r="C325" s="13" t="s">
        <v>493</v>
      </c>
      <c r="D325" s="5" t="s">
        <v>6</v>
      </c>
      <c r="E325" s="5" t="s">
        <v>6</v>
      </c>
      <c r="F325" s="5" t="s">
        <v>6</v>
      </c>
      <c r="G325" s="38">
        <f>SUM(G326:G333)</f>
        <v>0</v>
      </c>
      <c r="H325" s="38">
        <f>SUM(H326:H333)</f>
        <v>0</v>
      </c>
      <c r="I325" s="38">
        <f>G325+H325</f>
        <v>0</v>
      </c>
      <c r="J325" s="28"/>
      <c r="K325" s="38">
        <f>SUM(K326:K333)</f>
        <v>1.004</v>
      </c>
      <c r="L325" s="28"/>
      <c r="Y325" s="28"/>
      <c r="AI325" s="38">
        <f>SUM(Z326:Z333)</f>
        <v>0</v>
      </c>
      <c r="AJ325" s="38">
        <f>SUM(AA326:AA333)</f>
        <v>0</v>
      </c>
      <c r="AK325" s="38">
        <f>SUM(AB326:AB333)</f>
        <v>0</v>
      </c>
    </row>
    <row r="326" spans="1:48" x14ac:dyDescent="0.2">
      <c r="A326" s="4" t="s">
        <v>115</v>
      </c>
      <c r="B326" s="4" t="s">
        <v>242</v>
      </c>
      <c r="C326" s="4" t="s">
        <v>494</v>
      </c>
      <c r="D326" s="4" t="s">
        <v>527</v>
      </c>
      <c r="E326" s="19">
        <v>1</v>
      </c>
      <c r="F326" s="19">
        <v>0</v>
      </c>
      <c r="G326" s="19">
        <f>E326*AE326</f>
        <v>0</v>
      </c>
      <c r="H326" s="19">
        <f>I326-G326</f>
        <v>0</v>
      </c>
      <c r="I326" s="19">
        <f>E326*F326</f>
        <v>0</v>
      </c>
      <c r="J326" s="19">
        <v>0.75</v>
      </c>
      <c r="K326" s="19">
        <f>E326*J326</f>
        <v>0.75</v>
      </c>
      <c r="L326" s="31" t="s">
        <v>548</v>
      </c>
      <c r="P326" s="35">
        <f>IF(AG326="5",I326,0)</f>
        <v>0</v>
      </c>
      <c r="R326" s="35">
        <f>IF(AG326="1",G326,0)</f>
        <v>0</v>
      </c>
      <c r="S326" s="35">
        <f>IF(AG326="1",H326,0)</f>
        <v>0</v>
      </c>
      <c r="T326" s="35">
        <f>IF(AG326="7",G326,0)</f>
        <v>0</v>
      </c>
      <c r="U326" s="35">
        <f>IF(AG326="7",H326,0)</f>
        <v>0</v>
      </c>
      <c r="V326" s="35">
        <f>IF(AG326="2",G326,0)</f>
        <v>0</v>
      </c>
      <c r="W326" s="35">
        <f>IF(AG326="2",H326,0)</f>
        <v>0</v>
      </c>
      <c r="X326" s="35">
        <f>IF(AG326="0",I326,0)</f>
        <v>0</v>
      </c>
      <c r="Y326" s="28"/>
      <c r="Z326" s="19">
        <f>IF(AD326=0,I326,0)</f>
        <v>0</v>
      </c>
      <c r="AA326" s="19">
        <f>IF(AD326=15,I326,0)</f>
        <v>0</v>
      </c>
      <c r="AB326" s="19">
        <f>IF(AD326=21,I326,0)</f>
        <v>0</v>
      </c>
      <c r="AD326" s="35">
        <v>21</v>
      </c>
      <c r="AE326" s="35">
        <f>F326*0.0655466666666667</f>
        <v>0</v>
      </c>
      <c r="AF326" s="35">
        <f>F326*(1-0.0655466666666667)</f>
        <v>0</v>
      </c>
      <c r="AG326" s="31" t="s">
        <v>7</v>
      </c>
      <c r="AM326" s="35">
        <f>E326*AE326</f>
        <v>0</v>
      </c>
      <c r="AN326" s="35">
        <f>E326*AF326</f>
        <v>0</v>
      </c>
      <c r="AO326" s="36" t="s">
        <v>575</v>
      </c>
      <c r="AP326" s="36" t="s">
        <v>582</v>
      </c>
      <c r="AQ326" s="28" t="s">
        <v>584</v>
      </c>
      <c r="AS326" s="35">
        <f>AM326+AN326</f>
        <v>0</v>
      </c>
      <c r="AT326" s="35">
        <f>F326/(100-AU326)*100</f>
        <v>0</v>
      </c>
      <c r="AU326" s="35">
        <v>0</v>
      </c>
      <c r="AV326" s="35">
        <f>K326</f>
        <v>0.75</v>
      </c>
    </row>
    <row r="327" spans="1:48" x14ac:dyDescent="0.2">
      <c r="C327" s="15" t="s">
        <v>7</v>
      </c>
      <c r="E327" s="20">
        <v>1</v>
      </c>
    </row>
    <row r="328" spans="1:48" x14ac:dyDescent="0.2">
      <c r="B328" s="12" t="s">
        <v>133</v>
      </c>
      <c r="C328" s="112" t="s">
        <v>495</v>
      </c>
      <c r="D328" s="113"/>
      <c r="E328" s="113"/>
      <c r="F328" s="113"/>
      <c r="G328" s="113"/>
      <c r="H328" s="113"/>
      <c r="I328" s="113"/>
      <c r="J328" s="113"/>
      <c r="K328" s="113"/>
      <c r="L328" s="113"/>
    </row>
    <row r="329" spans="1:48" x14ac:dyDescent="0.2">
      <c r="A329" s="4" t="s">
        <v>116</v>
      </c>
      <c r="B329" s="4" t="s">
        <v>243</v>
      </c>
      <c r="C329" s="4" t="s">
        <v>496</v>
      </c>
      <c r="D329" s="4" t="s">
        <v>527</v>
      </c>
      <c r="E329" s="19">
        <v>4</v>
      </c>
      <c r="F329" s="19">
        <v>0</v>
      </c>
      <c r="G329" s="19">
        <f>E329*AE329</f>
        <v>0</v>
      </c>
      <c r="H329" s="19">
        <f>I329-G329</f>
        <v>0</v>
      </c>
      <c r="I329" s="19">
        <f>E329*F329</f>
        <v>0</v>
      </c>
      <c r="J329" s="19">
        <v>4.0000000000000001E-3</v>
      </c>
      <c r="K329" s="19">
        <f>E329*J329</f>
        <v>1.6E-2</v>
      </c>
      <c r="L329" s="31" t="s">
        <v>548</v>
      </c>
      <c r="P329" s="35">
        <f>IF(AG329="5",I329,0)</f>
        <v>0</v>
      </c>
      <c r="R329" s="35">
        <f>IF(AG329="1",G329,0)</f>
        <v>0</v>
      </c>
      <c r="S329" s="35">
        <f>IF(AG329="1",H329,0)</f>
        <v>0</v>
      </c>
      <c r="T329" s="35">
        <f>IF(AG329="7",G329,0)</f>
        <v>0</v>
      </c>
      <c r="U329" s="35">
        <f>IF(AG329="7",H329,0)</f>
        <v>0</v>
      </c>
      <c r="V329" s="35">
        <f>IF(AG329="2",G329,0)</f>
        <v>0</v>
      </c>
      <c r="W329" s="35">
        <f>IF(AG329="2",H329,0)</f>
        <v>0</v>
      </c>
      <c r="X329" s="35">
        <f>IF(AG329="0",I329,0)</f>
        <v>0</v>
      </c>
      <c r="Y329" s="28"/>
      <c r="Z329" s="19">
        <f>IF(AD329=0,I329,0)</f>
        <v>0</v>
      </c>
      <c r="AA329" s="19">
        <f>IF(AD329=15,I329,0)</f>
        <v>0</v>
      </c>
      <c r="AB329" s="19">
        <f>IF(AD329=21,I329,0)</f>
        <v>0</v>
      </c>
      <c r="AD329" s="35">
        <v>21</v>
      </c>
      <c r="AE329" s="35">
        <f>F329*0</f>
        <v>0</v>
      </c>
      <c r="AF329" s="35">
        <f>F329*(1-0)</f>
        <v>0</v>
      </c>
      <c r="AG329" s="31" t="s">
        <v>7</v>
      </c>
      <c r="AM329" s="35">
        <f>E329*AE329</f>
        <v>0</v>
      </c>
      <c r="AN329" s="35">
        <f>E329*AF329</f>
        <v>0</v>
      </c>
      <c r="AO329" s="36" t="s">
        <v>575</v>
      </c>
      <c r="AP329" s="36" t="s">
        <v>582</v>
      </c>
      <c r="AQ329" s="28" t="s">
        <v>584</v>
      </c>
      <c r="AS329" s="35">
        <f>AM329+AN329</f>
        <v>0</v>
      </c>
      <c r="AT329" s="35">
        <f>F329/(100-AU329)*100</f>
        <v>0</v>
      </c>
      <c r="AU329" s="35">
        <v>0</v>
      </c>
      <c r="AV329" s="35">
        <f>K329</f>
        <v>1.6E-2</v>
      </c>
    </row>
    <row r="330" spans="1:48" x14ac:dyDescent="0.2">
      <c r="C330" s="15" t="s">
        <v>10</v>
      </c>
      <c r="E330" s="20">
        <v>4</v>
      </c>
    </row>
    <row r="331" spans="1:48" x14ac:dyDescent="0.2">
      <c r="A331" s="4" t="s">
        <v>117</v>
      </c>
      <c r="B331" s="4" t="s">
        <v>244</v>
      </c>
      <c r="C331" s="4" t="s">
        <v>497</v>
      </c>
      <c r="D331" s="4" t="s">
        <v>527</v>
      </c>
      <c r="E331" s="19">
        <v>2</v>
      </c>
      <c r="F331" s="19">
        <v>0</v>
      </c>
      <c r="G331" s="19">
        <f>E331*AE331</f>
        <v>0</v>
      </c>
      <c r="H331" s="19">
        <f>I331-G331</f>
        <v>0</v>
      </c>
      <c r="I331" s="19">
        <f>E331*F331</f>
        <v>0</v>
      </c>
      <c r="J331" s="19">
        <v>3.6999999999999998E-2</v>
      </c>
      <c r="K331" s="19">
        <f>E331*J331</f>
        <v>7.3999999999999996E-2</v>
      </c>
      <c r="L331" s="31" t="s">
        <v>548</v>
      </c>
      <c r="P331" s="35">
        <f>IF(AG331="5",I331,0)</f>
        <v>0</v>
      </c>
      <c r="R331" s="35">
        <f>IF(AG331="1",G331,0)</f>
        <v>0</v>
      </c>
      <c r="S331" s="35">
        <f>IF(AG331="1",H331,0)</f>
        <v>0</v>
      </c>
      <c r="T331" s="35">
        <f>IF(AG331="7",G331,0)</f>
        <v>0</v>
      </c>
      <c r="U331" s="35">
        <f>IF(AG331="7",H331,0)</f>
        <v>0</v>
      </c>
      <c r="V331" s="35">
        <f>IF(AG331="2",G331,0)</f>
        <v>0</v>
      </c>
      <c r="W331" s="35">
        <f>IF(AG331="2",H331,0)</f>
        <v>0</v>
      </c>
      <c r="X331" s="35">
        <f>IF(AG331="0",I331,0)</f>
        <v>0</v>
      </c>
      <c r="Y331" s="28"/>
      <c r="Z331" s="19">
        <f>IF(AD331=0,I331,0)</f>
        <v>0</v>
      </c>
      <c r="AA331" s="19">
        <f>IF(AD331=15,I331,0)</f>
        <v>0</v>
      </c>
      <c r="AB331" s="19">
        <f>IF(AD331=21,I331,0)</f>
        <v>0</v>
      </c>
      <c r="AD331" s="35">
        <v>21</v>
      </c>
      <c r="AE331" s="35">
        <f>F331*0</f>
        <v>0</v>
      </c>
      <c r="AF331" s="35">
        <f>F331*(1-0)</f>
        <v>0</v>
      </c>
      <c r="AG331" s="31" t="s">
        <v>7</v>
      </c>
      <c r="AM331" s="35">
        <f>E331*AE331</f>
        <v>0</v>
      </c>
      <c r="AN331" s="35">
        <f>E331*AF331</f>
        <v>0</v>
      </c>
      <c r="AO331" s="36" t="s">
        <v>575</v>
      </c>
      <c r="AP331" s="36" t="s">
        <v>582</v>
      </c>
      <c r="AQ331" s="28" t="s">
        <v>584</v>
      </c>
      <c r="AS331" s="35">
        <f>AM331+AN331</f>
        <v>0</v>
      </c>
      <c r="AT331" s="35">
        <f>F331/(100-AU331)*100</f>
        <v>0</v>
      </c>
      <c r="AU331" s="35">
        <v>0</v>
      </c>
      <c r="AV331" s="35">
        <f>K331</f>
        <v>7.3999999999999996E-2</v>
      </c>
    </row>
    <row r="332" spans="1:48" x14ac:dyDescent="0.2">
      <c r="C332" s="15" t="s">
        <v>8</v>
      </c>
      <c r="E332" s="20">
        <v>2</v>
      </c>
    </row>
    <row r="333" spans="1:48" x14ac:dyDescent="0.2">
      <c r="A333" s="4" t="s">
        <v>118</v>
      </c>
      <c r="B333" s="4" t="s">
        <v>245</v>
      </c>
      <c r="C333" s="4" t="s">
        <v>498</v>
      </c>
      <c r="D333" s="4" t="s">
        <v>527</v>
      </c>
      <c r="E333" s="19">
        <v>2</v>
      </c>
      <c r="F333" s="19">
        <v>0</v>
      </c>
      <c r="G333" s="19">
        <f>E333*AE333</f>
        <v>0</v>
      </c>
      <c r="H333" s="19">
        <f>I333-G333</f>
        <v>0</v>
      </c>
      <c r="I333" s="19">
        <f>E333*F333</f>
        <v>0</v>
      </c>
      <c r="J333" s="19">
        <v>8.2000000000000003E-2</v>
      </c>
      <c r="K333" s="19">
        <f>E333*J333</f>
        <v>0.16400000000000001</v>
      </c>
      <c r="L333" s="31" t="s">
        <v>548</v>
      </c>
      <c r="P333" s="35">
        <f>IF(AG333="5",I333,0)</f>
        <v>0</v>
      </c>
      <c r="R333" s="35">
        <f>IF(AG333="1",G333,0)</f>
        <v>0</v>
      </c>
      <c r="S333" s="35">
        <f>IF(AG333="1",H333,0)</f>
        <v>0</v>
      </c>
      <c r="T333" s="35">
        <f>IF(AG333="7",G333,0)</f>
        <v>0</v>
      </c>
      <c r="U333" s="35">
        <f>IF(AG333="7",H333,0)</f>
        <v>0</v>
      </c>
      <c r="V333" s="35">
        <f>IF(AG333="2",G333,0)</f>
        <v>0</v>
      </c>
      <c r="W333" s="35">
        <f>IF(AG333="2",H333,0)</f>
        <v>0</v>
      </c>
      <c r="X333" s="35">
        <f>IF(AG333="0",I333,0)</f>
        <v>0</v>
      </c>
      <c r="Y333" s="28"/>
      <c r="Z333" s="19">
        <f>IF(AD333=0,I333,0)</f>
        <v>0</v>
      </c>
      <c r="AA333" s="19">
        <f>IF(AD333=15,I333,0)</f>
        <v>0</v>
      </c>
      <c r="AB333" s="19">
        <f>IF(AD333=21,I333,0)</f>
        <v>0</v>
      </c>
      <c r="AD333" s="35">
        <v>21</v>
      </c>
      <c r="AE333" s="35">
        <f>F333*0</f>
        <v>0</v>
      </c>
      <c r="AF333" s="35">
        <f>F333*(1-0)</f>
        <v>0</v>
      </c>
      <c r="AG333" s="31" t="s">
        <v>7</v>
      </c>
      <c r="AM333" s="35">
        <f>E333*AE333</f>
        <v>0</v>
      </c>
      <c r="AN333" s="35">
        <f>E333*AF333</f>
        <v>0</v>
      </c>
      <c r="AO333" s="36" t="s">
        <v>575</v>
      </c>
      <c r="AP333" s="36" t="s">
        <v>582</v>
      </c>
      <c r="AQ333" s="28" t="s">
        <v>584</v>
      </c>
      <c r="AS333" s="35">
        <f>AM333+AN333</f>
        <v>0</v>
      </c>
      <c r="AT333" s="35">
        <f>F333/(100-AU333)*100</f>
        <v>0</v>
      </c>
      <c r="AU333" s="35">
        <v>0</v>
      </c>
      <c r="AV333" s="35">
        <f>K333</f>
        <v>0.16400000000000001</v>
      </c>
    </row>
    <row r="334" spans="1:48" x14ac:dyDescent="0.2">
      <c r="C334" s="15" t="s">
        <v>8</v>
      </c>
      <c r="E334" s="20">
        <v>2</v>
      </c>
    </row>
    <row r="335" spans="1:48" x14ac:dyDescent="0.2">
      <c r="A335" s="5"/>
      <c r="B335" s="13" t="s">
        <v>246</v>
      </c>
      <c r="C335" s="13" t="s">
        <v>499</v>
      </c>
      <c r="D335" s="5" t="s">
        <v>6</v>
      </c>
      <c r="E335" s="5" t="s">
        <v>6</v>
      </c>
      <c r="F335" s="5" t="s">
        <v>6</v>
      </c>
      <c r="G335" s="38">
        <f>SUM(G336:G349)</f>
        <v>0</v>
      </c>
      <c r="H335" s="38">
        <f>SUM(H336:H349)</f>
        <v>0</v>
      </c>
      <c r="I335" s="38">
        <f>G335+H335</f>
        <v>0</v>
      </c>
      <c r="J335" s="28"/>
      <c r="K335" s="38">
        <f>SUM(K336:K349)</f>
        <v>0</v>
      </c>
      <c r="L335" s="28"/>
      <c r="Y335" s="28"/>
      <c r="AI335" s="38">
        <f>SUM(Z336:Z349)</f>
        <v>0</v>
      </c>
      <c r="AJ335" s="38">
        <f>SUM(AA336:AA349)</f>
        <v>0</v>
      </c>
      <c r="AK335" s="38">
        <f>SUM(AB336:AB349)</f>
        <v>0</v>
      </c>
    </row>
    <row r="336" spans="1:48" x14ac:dyDescent="0.2">
      <c r="A336" s="4" t="s">
        <v>119</v>
      </c>
      <c r="B336" s="4" t="s">
        <v>247</v>
      </c>
      <c r="C336" s="4" t="s">
        <v>500</v>
      </c>
      <c r="D336" s="4" t="s">
        <v>528</v>
      </c>
      <c r="E336" s="19">
        <v>204.04300000000001</v>
      </c>
      <c r="F336" s="19">
        <v>0</v>
      </c>
      <c r="G336" s="19">
        <f>E336*AE336</f>
        <v>0</v>
      </c>
      <c r="H336" s="19">
        <f>I336-G336</f>
        <v>0</v>
      </c>
      <c r="I336" s="19">
        <f>E336*F336</f>
        <v>0</v>
      </c>
      <c r="J336" s="19">
        <v>0</v>
      </c>
      <c r="K336" s="19">
        <f>E336*J336</f>
        <v>0</v>
      </c>
      <c r="L336" s="31" t="s">
        <v>548</v>
      </c>
      <c r="P336" s="35">
        <f>IF(AG336="5",I336,0)</f>
        <v>0</v>
      </c>
      <c r="R336" s="35">
        <f>IF(AG336="1",G336,0)</f>
        <v>0</v>
      </c>
      <c r="S336" s="35">
        <f>IF(AG336="1",H336,0)</f>
        <v>0</v>
      </c>
      <c r="T336" s="35">
        <f>IF(AG336="7",G336,0)</f>
        <v>0</v>
      </c>
      <c r="U336" s="35">
        <f>IF(AG336="7",H336,0)</f>
        <v>0</v>
      </c>
      <c r="V336" s="35">
        <f>IF(AG336="2",G336,0)</f>
        <v>0</v>
      </c>
      <c r="W336" s="35">
        <f>IF(AG336="2",H336,0)</f>
        <v>0</v>
      </c>
      <c r="X336" s="35">
        <f>IF(AG336="0",I336,0)</f>
        <v>0</v>
      </c>
      <c r="Y336" s="28"/>
      <c r="Z336" s="19">
        <f>IF(AD336=0,I336,0)</f>
        <v>0</v>
      </c>
      <c r="AA336" s="19">
        <f>IF(AD336=15,I336,0)</f>
        <v>0</v>
      </c>
      <c r="AB336" s="19">
        <f>IF(AD336=21,I336,0)</f>
        <v>0</v>
      </c>
      <c r="AD336" s="35">
        <v>21</v>
      </c>
      <c r="AE336" s="35">
        <f>F336*0.00909118967236174</f>
        <v>0</v>
      </c>
      <c r="AF336" s="35">
        <f>F336*(1-0.00909118967236174)</f>
        <v>0</v>
      </c>
      <c r="AG336" s="31" t="s">
        <v>11</v>
      </c>
      <c r="AM336" s="35">
        <f>E336*AE336</f>
        <v>0</v>
      </c>
      <c r="AN336" s="35">
        <f>E336*AF336</f>
        <v>0</v>
      </c>
      <c r="AO336" s="36" t="s">
        <v>576</v>
      </c>
      <c r="AP336" s="36" t="s">
        <v>582</v>
      </c>
      <c r="AQ336" s="28" t="s">
        <v>584</v>
      </c>
      <c r="AS336" s="35">
        <f>AM336+AN336</f>
        <v>0</v>
      </c>
      <c r="AT336" s="35">
        <f>F336/(100-AU336)*100</f>
        <v>0</v>
      </c>
      <c r="AU336" s="35">
        <v>0</v>
      </c>
      <c r="AV336" s="35">
        <f>K336</f>
        <v>0</v>
      </c>
    </row>
    <row r="337" spans="1:48" x14ac:dyDescent="0.2">
      <c r="B337" s="12" t="s">
        <v>133</v>
      </c>
      <c r="C337" s="112" t="s">
        <v>501</v>
      </c>
      <c r="D337" s="113"/>
      <c r="E337" s="113"/>
      <c r="F337" s="113"/>
      <c r="G337" s="113"/>
      <c r="H337" s="113"/>
      <c r="I337" s="113"/>
      <c r="J337" s="113"/>
      <c r="K337" s="113"/>
      <c r="L337" s="113"/>
    </row>
    <row r="338" spans="1:48" x14ac:dyDescent="0.2">
      <c r="A338" s="4" t="s">
        <v>120</v>
      </c>
      <c r="B338" s="4" t="s">
        <v>248</v>
      </c>
      <c r="C338" s="4" t="s">
        <v>502</v>
      </c>
      <c r="D338" s="4" t="s">
        <v>528</v>
      </c>
      <c r="E338" s="19">
        <v>408.08600000000001</v>
      </c>
      <c r="F338" s="19">
        <v>0</v>
      </c>
      <c r="G338" s="19">
        <f>E338*AE338</f>
        <v>0</v>
      </c>
      <c r="H338" s="19">
        <f>I338-G338</f>
        <v>0</v>
      </c>
      <c r="I338" s="19">
        <f>E338*F338</f>
        <v>0</v>
      </c>
      <c r="J338" s="19">
        <v>0</v>
      </c>
      <c r="K338" s="19">
        <f>E338*J338</f>
        <v>0</v>
      </c>
      <c r="L338" s="31" t="s">
        <v>548</v>
      </c>
      <c r="P338" s="35">
        <f>IF(AG338="5",I338,0)</f>
        <v>0</v>
      </c>
      <c r="R338" s="35">
        <f>IF(AG338="1",G338,0)</f>
        <v>0</v>
      </c>
      <c r="S338" s="35">
        <f>IF(AG338="1",H338,0)</f>
        <v>0</v>
      </c>
      <c r="T338" s="35">
        <f>IF(AG338="7",G338,0)</f>
        <v>0</v>
      </c>
      <c r="U338" s="35">
        <f>IF(AG338="7",H338,0)</f>
        <v>0</v>
      </c>
      <c r="V338" s="35">
        <f>IF(AG338="2",G338,0)</f>
        <v>0</v>
      </c>
      <c r="W338" s="35">
        <f>IF(AG338="2",H338,0)</f>
        <v>0</v>
      </c>
      <c r="X338" s="35">
        <f>IF(AG338="0",I338,0)</f>
        <v>0</v>
      </c>
      <c r="Y338" s="28"/>
      <c r="Z338" s="19">
        <f>IF(AD338=0,I338,0)</f>
        <v>0</v>
      </c>
      <c r="AA338" s="19">
        <f>IF(AD338=15,I338,0)</f>
        <v>0</v>
      </c>
      <c r="AB338" s="19">
        <f>IF(AD338=21,I338,0)</f>
        <v>0</v>
      </c>
      <c r="AD338" s="35">
        <v>21</v>
      </c>
      <c r="AE338" s="35">
        <f>F338*0</f>
        <v>0</v>
      </c>
      <c r="AF338" s="35">
        <f>F338*(1-0)</f>
        <v>0</v>
      </c>
      <c r="AG338" s="31" t="s">
        <v>11</v>
      </c>
      <c r="AM338" s="35">
        <f>E338*AE338</f>
        <v>0</v>
      </c>
      <c r="AN338" s="35">
        <f>E338*AF338</f>
        <v>0</v>
      </c>
      <c r="AO338" s="36" t="s">
        <v>576</v>
      </c>
      <c r="AP338" s="36" t="s">
        <v>582</v>
      </c>
      <c r="AQ338" s="28" t="s">
        <v>584</v>
      </c>
      <c r="AS338" s="35">
        <f>AM338+AN338</f>
        <v>0</v>
      </c>
      <c r="AT338" s="35">
        <f>F338/(100-AU338)*100</f>
        <v>0</v>
      </c>
      <c r="AU338" s="35">
        <v>0</v>
      </c>
      <c r="AV338" s="35">
        <f>K338</f>
        <v>0</v>
      </c>
    </row>
    <row r="339" spans="1:48" x14ac:dyDescent="0.2">
      <c r="C339" s="15" t="s">
        <v>503</v>
      </c>
      <c r="E339" s="20">
        <v>408.08600000000001</v>
      </c>
    </row>
    <row r="340" spans="1:48" x14ac:dyDescent="0.2">
      <c r="A340" s="4" t="s">
        <v>121</v>
      </c>
      <c r="B340" s="4" t="s">
        <v>249</v>
      </c>
      <c r="C340" s="4" t="s">
        <v>504</v>
      </c>
      <c r="D340" s="4" t="s">
        <v>528</v>
      </c>
      <c r="E340" s="19">
        <v>48.118220000000001</v>
      </c>
      <c r="F340" s="19">
        <v>0</v>
      </c>
      <c r="G340" s="19">
        <f>E340*AE340</f>
        <v>0</v>
      </c>
      <c r="H340" s="19">
        <f>I340-G340</f>
        <v>0</v>
      </c>
      <c r="I340" s="19">
        <f>E340*F340</f>
        <v>0</v>
      </c>
      <c r="J340" s="19">
        <v>0</v>
      </c>
      <c r="K340" s="19">
        <f>E340*J340</f>
        <v>0</v>
      </c>
      <c r="L340" s="31" t="s">
        <v>548</v>
      </c>
      <c r="P340" s="35">
        <f>IF(AG340="5",I340,0)</f>
        <v>0</v>
      </c>
      <c r="R340" s="35">
        <f>IF(AG340="1",G340,0)</f>
        <v>0</v>
      </c>
      <c r="S340" s="35">
        <f>IF(AG340="1",H340,0)</f>
        <v>0</v>
      </c>
      <c r="T340" s="35">
        <f>IF(AG340="7",G340,0)</f>
        <v>0</v>
      </c>
      <c r="U340" s="35">
        <f>IF(AG340="7",H340,0)</f>
        <v>0</v>
      </c>
      <c r="V340" s="35">
        <f>IF(AG340="2",G340,0)</f>
        <v>0</v>
      </c>
      <c r="W340" s="35">
        <f>IF(AG340="2",H340,0)</f>
        <v>0</v>
      </c>
      <c r="X340" s="35">
        <f>IF(AG340="0",I340,0)</f>
        <v>0</v>
      </c>
      <c r="Y340" s="28"/>
      <c r="Z340" s="19">
        <f>IF(AD340=0,I340,0)</f>
        <v>0</v>
      </c>
      <c r="AA340" s="19">
        <f>IF(AD340=15,I340,0)</f>
        <v>0</v>
      </c>
      <c r="AB340" s="19">
        <f>IF(AD340=21,I340,0)</f>
        <v>0</v>
      </c>
      <c r="AD340" s="35">
        <v>21</v>
      </c>
      <c r="AE340" s="35">
        <f>F340*0</f>
        <v>0</v>
      </c>
      <c r="AF340" s="35">
        <f>F340*(1-0)</f>
        <v>0</v>
      </c>
      <c r="AG340" s="31" t="s">
        <v>11</v>
      </c>
      <c r="AM340" s="35">
        <f>E340*AE340</f>
        <v>0</v>
      </c>
      <c r="AN340" s="35">
        <f>E340*AF340</f>
        <v>0</v>
      </c>
      <c r="AO340" s="36" t="s">
        <v>576</v>
      </c>
      <c r="AP340" s="36" t="s">
        <v>582</v>
      </c>
      <c r="AQ340" s="28" t="s">
        <v>584</v>
      </c>
      <c r="AS340" s="35">
        <f>AM340+AN340</f>
        <v>0</v>
      </c>
      <c r="AT340" s="35">
        <f>F340/(100-AU340)*100</f>
        <v>0</v>
      </c>
      <c r="AU340" s="35">
        <v>0</v>
      </c>
      <c r="AV340" s="35">
        <f>K340</f>
        <v>0</v>
      </c>
    </row>
    <row r="341" spans="1:48" x14ac:dyDescent="0.2">
      <c r="A341" s="4" t="s">
        <v>122</v>
      </c>
      <c r="B341" s="4" t="s">
        <v>250</v>
      </c>
      <c r="C341" s="4" t="s">
        <v>505</v>
      </c>
      <c r="D341" s="4" t="s">
        <v>528</v>
      </c>
      <c r="E341" s="19">
        <v>51.436</v>
      </c>
      <c r="F341" s="19">
        <v>0</v>
      </c>
      <c r="G341" s="19">
        <f>E341*AE341</f>
        <v>0</v>
      </c>
      <c r="H341" s="19">
        <f>I341-G341</f>
        <v>0</v>
      </c>
      <c r="I341" s="19">
        <f>E341*F341</f>
        <v>0</v>
      </c>
      <c r="J341" s="19">
        <v>0</v>
      </c>
      <c r="K341" s="19">
        <f>E341*J341</f>
        <v>0</v>
      </c>
      <c r="L341" s="31" t="s">
        <v>548</v>
      </c>
      <c r="P341" s="35">
        <f>IF(AG341="5",I341,0)</f>
        <v>0</v>
      </c>
      <c r="R341" s="35">
        <f>IF(AG341="1",G341,0)</f>
        <v>0</v>
      </c>
      <c r="S341" s="35">
        <f>IF(AG341="1",H341,0)</f>
        <v>0</v>
      </c>
      <c r="T341" s="35">
        <f>IF(AG341="7",G341,0)</f>
        <v>0</v>
      </c>
      <c r="U341" s="35">
        <f>IF(AG341="7",H341,0)</f>
        <v>0</v>
      </c>
      <c r="V341" s="35">
        <f>IF(AG341="2",G341,0)</f>
        <v>0</v>
      </c>
      <c r="W341" s="35">
        <f>IF(AG341="2",H341,0)</f>
        <v>0</v>
      </c>
      <c r="X341" s="35">
        <f>IF(AG341="0",I341,0)</f>
        <v>0</v>
      </c>
      <c r="Y341" s="28"/>
      <c r="Z341" s="19">
        <f>IF(AD341=0,I341,0)</f>
        <v>0</v>
      </c>
      <c r="AA341" s="19">
        <f>IF(AD341=15,I341,0)</f>
        <v>0</v>
      </c>
      <c r="AB341" s="19">
        <f>IF(AD341=21,I341,0)</f>
        <v>0</v>
      </c>
      <c r="AD341" s="35">
        <v>21</v>
      </c>
      <c r="AE341" s="35">
        <f>F341*0</f>
        <v>0</v>
      </c>
      <c r="AF341" s="35">
        <f>F341*(1-0)</f>
        <v>0</v>
      </c>
      <c r="AG341" s="31" t="s">
        <v>11</v>
      </c>
      <c r="AM341" s="35">
        <f>E341*AE341</f>
        <v>0</v>
      </c>
      <c r="AN341" s="35">
        <f>E341*AF341</f>
        <v>0</v>
      </c>
      <c r="AO341" s="36" t="s">
        <v>576</v>
      </c>
      <c r="AP341" s="36" t="s">
        <v>582</v>
      </c>
      <c r="AQ341" s="28" t="s">
        <v>584</v>
      </c>
      <c r="AS341" s="35">
        <f>AM341+AN341</f>
        <v>0</v>
      </c>
      <c r="AT341" s="35">
        <f>F341/(100-AU341)*100</f>
        <v>0</v>
      </c>
      <c r="AU341" s="35">
        <v>0</v>
      </c>
      <c r="AV341" s="35">
        <f>K341</f>
        <v>0</v>
      </c>
    </row>
    <row r="342" spans="1:48" x14ac:dyDescent="0.2">
      <c r="B342" s="12" t="s">
        <v>133</v>
      </c>
      <c r="C342" s="112" t="s">
        <v>506</v>
      </c>
      <c r="D342" s="113"/>
      <c r="E342" s="113"/>
      <c r="F342" s="113"/>
      <c r="G342" s="113"/>
      <c r="H342" s="113"/>
      <c r="I342" s="113"/>
      <c r="J342" s="113"/>
      <c r="K342" s="113"/>
      <c r="L342" s="113"/>
    </row>
    <row r="343" spans="1:48" x14ac:dyDescent="0.2">
      <c r="A343" s="4" t="s">
        <v>123</v>
      </c>
      <c r="B343" s="4" t="s">
        <v>251</v>
      </c>
      <c r="C343" s="4" t="s">
        <v>507</v>
      </c>
      <c r="D343" s="4" t="s">
        <v>528</v>
      </c>
      <c r="E343" s="19">
        <v>120.97499999999999</v>
      </c>
      <c r="F343" s="19">
        <v>0</v>
      </c>
      <c r="G343" s="19">
        <f>E343*AE343</f>
        <v>0</v>
      </c>
      <c r="H343" s="19">
        <f>I343-G343</f>
        <v>0</v>
      </c>
      <c r="I343" s="19">
        <f>E343*F343</f>
        <v>0</v>
      </c>
      <c r="J343" s="19">
        <v>0</v>
      </c>
      <c r="K343" s="19">
        <f>E343*J343</f>
        <v>0</v>
      </c>
      <c r="L343" s="31" t="s">
        <v>548</v>
      </c>
      <c r="P343" s="35">
        <f>IF(AG343="5",I343,0)</f>
        <v>0</v>
      </c>
      <c r="R343" s="35">
        <f>IF(AG343="1",G343,0)</f>
        <v>0</v>
      </c>
      <c r="S343" s="35">
        <f>IF(AG343="1",H343,0)</f>
        <v>0</v>
      </c>
      <c r="T343" s="35">
        <f>IF(AG343="7",G343,0)</f>
        <v>0</v>
      </c>
      <c r="U343" s="35">
        <f>IF(AG343="7",H343,0)</f>
        <v>0</v>
      </c>
      <c r="V343" s="35">
        <f>IF(AG343="2",G343,0)</f>
        <v>0</v>
      </c>
      <c r="W343" s="35">
        <f>IF(AG343="2",H343,0)</f>
        <v>0</v>
      </c>
      <c r="X343" s="35">
        <f>IF(AG343="0",I343,0)</f>
        <v>0</v>
      </c>
      <c r="Y343" s="28"/>
      <c r="Z343" s="19">
        <f>IF(AD343=0,I343,0)</f>
        <v>0</v>
      </c>
      <c r="AA343" s="19">
        <f>IF(AD343=15,I343,0)</f>
        <v>0</v>
      </c>
      <c r="AB343" s="19">
        <f>IF(AD343=21,I343,0)</f>
        <v>0</v>
      </c>
      <c r="AD343" s="35">
        <v>21</v>
      </c>
      <c r="AE343" s="35">
        <f>F343*0</f>
        <v>0</v>
      </c>
      <c r="AF343" s="35">
        <f>F343*(1-0)</f>
        <v>0</v>
      </c>
      <c r="AG343" s="31" t="s">
        <v>11</v>
      </c>
      <c r="AM343" s="35">
        <f>E343*AE343</f>
        <v>0</v>
      </c>
      <c r="AN343" s="35">
        <f>E343*AF343</f>
        <v>0</v>
      </c>
      <c r="AO343" s="36" t="s">
        <v>576</v>
      </c>
      <c r="AP343" s="36" t="s">
        <v>582</v>
      </c>
      <c r="AQ343" s="28" t="s">
        <v>584</v>
      </c>
      <c r="AS343" s="35">
        <f>AM343+AN343</f>
        <v>0</v>
      </c>
      <c r="AT343" s="35">
        <f>F343/(100-AU343)*100</f>
        <v>0</v>
      </c>
      <c r="AU343" s="35">
        <v>0</v>
      </c>
      <c r="AV343" s="35">
        <f>K343</f>
        <v>0</v>
      </c>
    </row>
    <row r="344" spans="1:48" x14ac:dyDescent="0.2">
      <c r="A344" s="4" t="s">
        <v>124</v>
      </c>
      <c r="B344" s="4" t="s">
        <v>252</v>
      </c>
      <c r="C344" s="4" t="s">
        <v>508</v>
      </c>
      <c r="D344" s="4" t="s">
        <v>528</v>
      </c>
      <c r="E344" s="19">
        <v>20.399999999999999</v>
      </c>
      <c r="F344" s="19">
        <v>0</v>
      </c>
      <c r="G344" s="19">
        <f>E344*AE344</f>
        <v>0</v>
      </c>
      <c r="H344" s="19">
        <f>I344-G344</f>
        <v>0</v>
      </c>
      <c r="I344" s="19">
        <f>E344*F344</f>
        <v>0</v>
      </c>
      <c r="J344" s="19">
        <v>0</v>
      </c>
      <c r="K344" s="19">
        <f>E344*J344</f>
        <v>0</v>
      </c>
      <c r="L344" s="31" t="s">
        <v>548</v>
      </c>
      <c r="P344" s="35">
        <f>IF(AG344="5",I344,0)</f>
        <v>0</v>
      </c>
      <c r="R344" s="35">
        <f>IF(AG344="1",G344,0)</f>
        <v>0</v>
      </c>
      <c r="S344" s="35">
        <f>IF(AG344="1",H344,0)</f>
        <v>0</v>
      </c>
      <c r="T344" s="35">
        <f>IF(AG344="7",G344,0)</f>
        <v>0</v>
      </c>
      <c r="U344" s="35">
        <f>IF(AG344="7",H344,0)</f>
        <v>0</v>
      </c>
      <c r="V344" s="35">
        <f>IF(AG344="2",G344,0)</f>
        <v>0</v>
      </c>
      <c r="W344" s="35">
        <f>IF(AG344="2",H344,0)</f>
        <v>0</v>
      </c>
      <c r="X344" s="35">
        <f>IF(AG344="0",I344,0)</f>
        <v>0</v>
      </c>
      <c r="Y344" s="28"/>
      <c r="Z344" s="19">
        <f>IF(AD344=0,I344,0)</f>
        <v>0</v>
      </c>
      <c r="AA344" s="19">
        <f>IF(AD344=15,I344,0)</f>
        <v>0</v>
      </c>
      <c r="AB344" s="19">
        <f>IF(AD344=21,I344,0)</f>
        <v>0</v>
      </c>
      <c r="AD344" s="35">
        <v>21</v>
      </c>
      <c r="AE344" s="35">
        <f>F344*0</f>
        <v>0</v>
      </c>
      <c r="AF344" s="35">
        <f>F344*(1-0)</f>
        <v>0</v>
      </c>
      <c r="AG344" s="31" t="s">
        <v>11</v>
      </c>
      <c r="AM344" s="35">
        <f>E344*AE344</f>
        <v>0</v>
      </c>
      <c r="AN344" s="35">
        <f>E344*AF344</f>
        <v>0</v>
      </c>
      <c r="AO344" s="36" t="s">
        <v>576</v>
      </c>
      <c r="AP344" s="36" t="s">
        <v>582</v>
      </c>
      <c r="AQ344" s="28" t="s">
        <v>584</v>
      </c>
      <c r="AS344" s="35">
        <f>AM344+AN344</f>
        <v>0</v>
      </c>
      <c r="AT344" s="35">
        <f>F344/(100-AU344)*100</f>
        <v>0</v>
      </c>
      <c r="AU344" s="35">
        <v>0</v>
      </c>
      <c r="AV344" s="35">
        <f>K344</f>
        <v>0</v>
      </c>
    </row>
    <row r="345" spans="1:48" x14ac:dyDescent="0.2">
      <c r="A345" s="4" t="s">
        <v>125</v>
      </c>
      <c r="B345" s="4" t="s">
        <v>253</v>
      </c>
      <c r="C345" s="4" t="s">
        <v>509</v>
      </c>
      <c r="D345" s="4" t="s">
        <v>528</v>
      </c>
      <c r="E345" s="19">
        <v>47.05</v>
      </c>
      <c r="F345" s="19">
        <v>0</v>
      </c>
      <c r="G345" s="19">
        <f>E345*AE345</f>
        <v>0</v>
      </c>
      <c r="H345" s="19">
        <f>I345-G345</f>
        <v>0</v>
      </c>
      <c r="I345" s="19">
        <f>E345*F345</f>
        <v>0</v>
      </c>
      <c r="J345" s="19">
        <v>0</v>
      </c>
      <c r="K345" s="19">
        <f>E345*J345</f>
        <v>0</v>
      </c>
      <c r="L345" s="31" t="s">
        <v>548</v>
      </c>
      <c r="P345" s="35">
        <f>IF(AG345="5",I345,0)</f>
        <v>0</v>
      </c>
      <c r="R345" s="35">
        <f>IF(AG345="1",G345,0)</f>
        <v>0</v>
      </c>
      <c r="S345" s="35">
        <f>IF(AG345="1",H345,0)</f>
        <v>0</v>
      </c>
      <c r="T345" s="35">
        <f>IF(AG345="7",G345,0)</f>
        <v>0</v>
      </c>
      <c r="U345" s="35">
        <f>IF(AG345="7",H345,0)</f>
        <v>0</v>
      </c>
      <c r="V345" s="35">
        <f>IF(AG345="2",G345,0)</f>
        <v>0</v>
      </c>
      <c r="W345" s="35">
        <f>IF(AG345="2",H345,0)</f>
        <v>0</v>
      </c>
      <c r="X345" s="35">
        <f>IF(AG345="0",I345,0)</f>
        <v>0</v>
      </c>
      <c r="Y345" s="28"/>
      <c r="Z345" s="19">
        <f>IF(AD345=0,I345,0)</f>
        <v>0</v>
      </c>
      <c r="AA345" s="19">
        <f>IF(AD345=15,I345,0)</f>
        <v>0</v>
      </c>
      <c r="AB345" s="19">
        <f>IF(AD345=21,I345,0)</f>
        <v>0</v>
      </c>
      <c r="AD345" s="35">
        <v>21</v>
      </c>
      <c r="AE345" s="35">
        <f>F345*0</f>
        <v>0</v>
      </c>
      <c r="AF345" s="35">
        <f>F345*(1-0)</f>
        <v>0</v>
      </c>
      <c r="AG345" s="31" t="s">
        <v>11</v>
      </c>
      <c r="AM345" s="35">
        <f>E345*AE345</f>
        <v>0</v>
      </c>
      <c r="AN345" s="35">
        <f>E345*AF345</f>
        <v>0</v>
      </c>
      <c r="AO345" s="36" t="s">
        <v>576</v>
      </c>
      <c r="AP345" s="36" t="s">
        <v>582</v>
      </c>
      <c r="AQ345" s="28" t="s">
        <v>584</v>
      </c>
      <c r="AS345" s="35">
        <f>AM345+AN345</f>
        <v>0</v>
      </c>
      <c r="AT345" s="35">
        <f>F345/(100-AU345)*100</f>
        <v>0</v>
      </c>
      <c r="AU345" s="35">
        <v>0</v>
      </c>
      <c r="AV345" s="35">
        <f>K345</f>
        <v>0</v>
      </c>
    </row>
    <row r="346" spans="1:48" x14ac:dyDescent="0.2">
      <c r="B346" s="12" t="s">
        <v>133</v>
      </c>
      <c r="C346" s="112" t="s">
        <v>510</v>
      </c>
      <c r="D346" s="113"/>
      <c r="E346" s="113"/>
      <c r="F346" s="113"/>
      <c r="G346" s="113"/>
      <c r="H346" s="113"/>
      <c r="I346" s="113"/>
      <c r="J346" s="113"/>
      <c r="K346" s="113"/>
      <c r="L346" s="113"/>
    </row>
    <row r="347" spans="1:48" x14ac:dyDescent="0.2">
      <c r="A347" s="4" t="s">
        <v>126</v>
      </c>
      <c r="B347" s="4" t="s">
        <v>254</v>
      </c>
      <c r="C347" s="4" t="s">
        <v>511</v>
      </c>
      <c r="D347" s="4" t="s">
        <v>528</v>
      </c>
      <c r="E347" s="19">
        <v>11.231999999999999</v>
      </c>
      <c r="F347" s="19">
        <v>0</v>
      </c>
      <c r="G347" s="19">
        <f>E347*AE347</f>
        <v>0</v>
      </c>
      <c r="H347" s="19">
        <f>I347-G347</f>
        <v>0</v>
      </c>
      <c r="I347" s="19">
        <f>E347*F347</f>
        <v>0</v>
      </c>
      <c r="J347" s="19">
        <v>0</v>
      </c>
      <c r="K347" s="19">
        <f>E347*J347</f>
        <v>0</v>
      </c>
      <c r="L347" s="31" t="s">
        <v>548</v>
      </c>
      <c r="P347" s="35">
        <f>IF(AG347="5",I347,0)</f>
        <v>0</v>
      </c>
      <c r="R347" s="35">
        <f>IF(AG347="1",G347,0)</f>
        <v>0</v>
      </c>
      <c r="S347" s="35">
        <f>IF(AG347="1",H347,0)</f>
        <v>0</v>
      </c>
      <c r="T347" s="35">
        <f>IF(AG347="7",G347,0)</f>
        <v>0</v>
      </c>
      <c r="U347" s="35">
        <f>IF(AG347="7",H347,0)</f>
        <v>0</v>
      </c>
      <c r="V347" s="35">
        <f>IF(AG347="2",G347,0)</f>
        <v>0</v>
      </c>
      <c r="W347" s="35">
        <f>IF(AG347="2",H347,0)</f>
        <v>0</v>
      </c>
      <c r="X347" s="35">
        <f>IF(AG347="0",I347,0)</f>
        <v>0</v>
      </c>
      <c r="Y347" s="28"/>
      <c r="Z347" s="19">
        <f>IF(AD347=0,I347,0)</f>
        <v>0</v>
      </c>
      <c r="AA347" s="19">
        <f>IF(AD347=15,I347,0)</f>
        <v>0</v>
      </c>
      <c r="AB347" s="19">
        <f>IF(AD347=21,I347,0)</f>
        <v>0</v>
      </c>
      <c r="AD347" s="35">
        <v>21</v>
      </c>
      <c r="AE347" s="35">
        <f>F347*0</f>
        <v>0</v>
      </c>
      <c r="AF347" s="35">
        <f>F347*(1-0)</f>
        <v>0</v>
      </c>
      <c r="AG347" s="31" t="s">
        <v>11</v>
      </c>
      <c r="AM347" s="35">
        <f>E347*AE347</f>
        <v>0</v>
      </c>
      <c r="AN347" s="35">
        <f>E347*AF347</f>
        <v>0</v>
      </c>
      <c r="AO347" s="36" t="s">
        <v>576</v>
      </c>
      <c r="AP347" s="36" t="s">
        <v>582</v>
      </c>
      <c r="AQ347" s="28" t="s">
        <v>584</v>
      </c>
      <c r="AS347" s="35">
        <f>AM347+AN347</f>
        <v>0</v>
      </c>
      <c r="AT347" s="35">
        <f>F347/(100-AU347)*100</f>
        <v>0</v>
      </c>
      <c r="AU347" s="35">
        <v>0</v>
      </c>
      <c r="AV347" s="35">
        <f>K347</f>
        <v>0</v>
      </c>
    </row>
    <row r="348" spans="1:48" x14ac:dyDescent="0.2">
      <c r="B348" s="12" t="s">
        <v>133</v>
      </c>
      <c r="C348" s="112" t="s">
        <v>512</v>
      </c>
      <c r="D348" s="113"/>
      <c r="E348" s="113"/>
      <c r="F348" s="113"/>
      <c r="G348" s="113"/>
      <c r="H348" s="113"/>
      <c r="I348" s="113"/>
      <c r="J348" s="113"/>
      <c r="K348" s="113"/>
      <c r="L348" s="113"/>
    </row>
    <row r="349" spans="1:48" x14ac:dyDescent="0.2">
      <c r="A349" s="4" t="s">
        <v>127</v>
      </c>
      <c r="B349" s="4" t="s">
        <v>255</v>
      </c>
      <c r="C349" s="4" t="s">
        <v>513</v>
      </c>
      <c r="D349" s="4" t="s">
        <v>528</v>
      </c>
      <c r="E349" s="19">
        <v>48.118220000000001</v>
      </c>
      <c r="F349" s="19">
        <v>0</v>
      </c>
      <c r="G349" s="19">
        <f>E349*AE349</f>
        <v>0</v>
      </c>
      <c r="H349" s="19">
        <f>I349-G349</f>
        <v>0</v>
      </c>
      <c r="I349" s="19">
        <f>E349*F349</f>
        <v>0</v>
      </c>
      <c r="J349" s="19">
        <v>0</v>
      </c>
      <c r="K349" s="19">
        <f>E349*J349</f>
        <v>0</v>
      </c>
      <c r="L349" s="31" t="s">
        <v>548</v>
      </c>
      <c r="P349" s="35">
        <f>IF(AG349="5",I349,0)</f>
        <v>0</v>
      </c>
      <c r="R349" s="35">
        <f>IF(AG349="1",G349,0)</f>
        <v>0</v>
      </c>
      <c r="S349" s="35">
        <f>IF(AG349="1",H349,0)</f>
        <v>0</v>
      </c>
      <c r="T349" s="35">
        <f>IF(AG349="7",G349,0)</f>
        <v>0</v>
      </c>
      <c r="U349" s="35">
        <f>IF(AG349="7",H349,0)</f>
        <v>0</v>
      </c>
      <c r="V349" s="35">
        <f>IF(AG349="2",G349,0)</f>
        <v>0</v>
      </c>
      <c r="W349" s="35">
        <f>IF(AG349="2",H349,0)</f>
        <v>0</v>
      </c>
      <c r="X349" s="35">
        <f>IF(AG349="0",I349,0)</f>
        <v>0</v>
      </c>
      <c r="Y349" s="28"/>
      <c r="Z349" s="19">
        <f>IF(AD349=0,I349,0)</f>
        <v>0</v>
      </c>
      <c r="AA349" s="19">
        <f>IF(AD349=15,I349,0)</f>
        <v>0</v>
      </c>
      <c r="AB349" s="19">
        <f>IF(AD349=21,I349,0)</f>
        <v>0</v>
      </c>
      <c r="AD349" s="35">
        <v>21</v>
      </c>
      <c r="AE349" s="35">
        <f>F349*0</f>
        <v>0</v>
      </c>
      <c r="AF349" s="35">
        <f>F349*(1-0)</f>
        <v>0</v>
      </c>
      <c r="AG349" s="31" t="s">
        <v>11</v>
      </c>
      <c r="AM349" s="35">
        <f>E349*AE349</f>
        <v>0</v>
      </c>
      <c r="AN349" s="35">
        <f>E349*AF349</f>
        <v>0</v>
      </c>
      <c r="AO349" s="36" t="s">
        <v>576</v>
      </c>
      <c r="AP349" s="36" t="s">
        <v>582</v>
      </c>
      <c r="AQ349" s="28" t="s">
        <v>584</v>
      </c>
      <c r="AS349" s="35">
        <f>AM349+AN349</f>
        <v>0</v>
      </c>
      <c r="AT349" s="35">
        <f>F349/(100-AU349)*100</f>
        <v>0</v>
      </c>
      <c r="AU349" s="35">
        <v>0</v>
      </c>
      <c r="AV349" s="35">
        <f>K349</f>
        <v>0</v>
      </c>
    </row>
    <row r="350" spans="1:48" x14ac:dyDescent="0.2">
      <c r="C350" s="15" t="s">
        <v>514</v>
      </c>
      <c r="E350" s="20">
        <v>48.118220000000001</v>
      </c>
    </row>
    <row r="351" spans="1:48" x14ac:dyDescent="0.2">
      <c r="A351" s="5"/>
      <c r="B351" s="13"/>
      <c r="C351" s="13" t="s">
        <v>515</v>
      </c>
      <c r="D351" s="5" t="s">
        <v>6</v>
      </c>
      <c r="E351" s="5" t="s">
        <v>6</v>
      </c>
      <c r="F351" s="5" t="s">
        <v>6</v>
      </c>
      <c r="G351" s="38">
        <f>SUM(G352:G354)</f>
        <v>0</v>
      </c>
      <c r="H351" s="38">
        <f>SUM(H352:H354)</f>
        <v>0</v>
      </c>
      <c r="I351" s="38">
        <f>G351+H351</f>
        <v>0</v>
      </c>
      <c r="J351" s="28"/>
      <c r="K351" s="38">
        <f>SUM(K352:K354)</f>
        <v>0</v>
      </c>
      <c r="L351" s="28"/>
      <c r="Y351" s="28"/>
      <c r="AI351" s="38">
        <f>SUM(Z352:Z354)</f>
        <v>0</v>
      </c>
      <c r="AJ351" s="38">
        <f>SUM(AA352:AA354)</f>
        <v>0</v>
      </c>
      <c r="AK351" s="38">
        <f>SUM(AB352:AB354)</f>
        <v>0</v>
      </c>
    </row>
    <row r="352" spans="1:48" x14ac:dyDescent="0.2">
      <c r="A352" s="6" t="s">
        <v>128</v>
      </c>
      <c r="B352" s="6" t="s">
        <v>256</v>
      </c>
      <c r="C352" s="6" t="s">
        <v>516</v>
      </c>
      <c r="D352" s="6" t="s">
        <v>527</v>
      </c>
      <c r="E352" s="21">
        <v>2</v>
      </c>
      <c r="F352" s="21">
        <v>0</v>
      </c>
      <c r="G352" s="21">
        <f>E352*AE352</f>
        <v>0</v>
      </c>
      <c r="H352" s="21">
        <f>I352-G352</f>
        <v>0</v>
      </c>
      <c r="I352" s="21">
        <f>E352*F352</f>
        <v>0</v>
      </c>
      <c r="J352" s="21">
        <v>0</v>
      </c>
      <c r="K352" s="21">
        <f>E352*J352</f>
        <v>0</v>
      </c>
      <c r="L352" s="32" t="s">
        <v>548</v>
      </c>
      <c r="P352" s="35">
        <f>IF(AG352="5",I352,0)</f>
        <v>0</v>
      </c>
      <c r="R352" s="35">
        <f>IF(AG352="1",G352,0)</f>
        <v>0</v>
      </c>
      <c r="S352" s="35">
        <f>IF(AG352="1",H352,0)</f>
        <v>0</v>
      </c>
      <c r="T352" s="35">
        <f>IF(AG352="7",G352,0)</f>
        <v>0</v>
      </c>
      <c r="U352" s="35">
        <f>IF(AG352="7",H352,0)</f>
        <v>0</v>
      </c>
      <c r="V352" s="35">
        <f>IF(AG352="2",G352,0)</f>
        <v>0</v>
      </c>
      <c r="W352" s="35">
        <f>IF(AG352="2",H352,0)</f>
        <v>0</v>
      </c>
      <c r="X352" s="35">
        <f>IF(AG352="0",I352,0)</f>
        <v>0</v>
      </c>
      <c r="Y352" s="28"/>
      <c r="Z352" s="21">
        <f>IF(AD352=0,I352,0)</f>
        <v>0</v>
      </c>
      <c r="AA352" s="21">
        <f>IF(AD352=15,I352,0)</f>
        <v>0</v>
      </c>
      <c r="AB352" s="21">
        <f>IF(AD352=21,I352,0)</f>
        <v>0</v>
      </c>
      <c r="AD352" s="35">
        <v>21</v>
      </c>
      <c r="AE352" s="35">
        <f>F352*1</f>
        <v>0</v>
      </c>
      <c r="AF352" s="35">
        <f>F352*(1-1)</f>
        <v>0</v>
      </c>
      <c r="AG352" s="32" t="s">
        <v>558</v>
      </c>
      <c r="AM352" s="35">
        <f>E352*AE352</f>
        <v>0</v>
      </c>
      <c r="AN352" s="35">
        <f>E352*AF352</f>
        <v>0</v>
      </c>
      <c r="AO352" s="36" t="s">
        <v>577</v>
      </c>
      <c r="AP352" s="36" t="s">
        <v>583</v>
      </c>
      <c r="AQ352" s="28" t="s">
        <v>584</v>
      </c>
      <c r="AS352" s="35">
        <f>AM352+AN352</f>
        <v>0</v>
      </c>
      <c r="AT352" s="35">
        <f>F352/(100-AU352)*100</f>
        <v>0</v>
      </c>
      <c r="AU352" s="35">
        <v>0</v>
      </c>
      <c r="AV352" s="35">
        <f>K352</f>
        <v>0</v>
      </c>
    </row>
    <row r="353" spans="1:48" x14ac:dyDescent="0.2">
      <c r="C353" s="15" t="s">
        <v>8</v>
      </c>
      <c r="E353" s="20">
        <v>2</v>
      </c>
    </row>
    <row r="354" spans="1:48" x14ac:dyDescent="0.2">
      <c r="A354" s="4" t="s">
        <v>129</v>
      </c>
      <c r="B354" s="4" t="s">
        <v>257</v>
      </c>
      <c r="C354" s="4" t="s">
        <v>517</v>
      </c>
      <c r="D354" s="4" t="s">
        <v>528</v>
      </c>
      <c r="E354" s="19">
        <v>717.63667999999996</v>
      </c>
      <c r="F354" s="19">
        <v>0</v>
      </c>
      <c r="G354" s="19">
        <f>E354*AE354</f>
        <v>0</v>
      </c>
      <c r="H354" s="19">
        <f>I354-G354</f>
        <v>0</v>
      </c>
      <c r="I354" s="19">
        <f>E354*F354</f>
        <v>0</v>
      </c>
      <c r="J354" s="19">
        <v>0</v>
      </c>
      <c r="K354" s="19">
        <f>E354*J354</f>
        <v>0</v>
      </c>
      <c r="L354" s="31" t="s">
        <v>548</v>
      </c>
      <c r="P354" s="35">
        <f>IF(AG354="5",I354,0)</f>
        <v>0</v>
      </c>
      <c r="R354" s="35">
        <f>IF(AG354="1",G354,0)</f>
        <v>0</v>
      </c>
      <c r="S354" s="35">
        <f>IF(AG354="1",H354,0)</f>
        <v>0</v>
      </c>
      <c r="T354" s="35">
        <f>IF(AG354="7",G354,0)</f>
        <v>0</v>
      </c>
      <c r="U354" s="35">
        <f>IF(AG354="7",H354,0)</f>
        <v>0</v>
      </c>
      <c r="V354" s="35">
        <f>IF(AG354="2",G354,0)</f>
        <v>0</v>
      </c>
      <c r="W354" s="35">
        <f>IF(AG354="2",H354,0)</f>
        <v>0</v>
      </c>
      <c r="X354" s="35">
        <f>IF(AG354="0",I354,0)</f>
        <v>0</v>
      </c>
      <c r="Y354" s="28"/>
      <c r="Z354" s="19">
        <f>IF(AD354=0,I354,0)</f>
        <v>0</v>
      </c>
      <c r="AA354" s="19">
        <f>IF(AD354=15,I354,0)</f>
        <v>0</v>
      </c>
      <c r="AB354" s="19">
        <f>IF(AD354=21,I354,0)</f>
        <v>0</v>
      </c>
      <c r="AD354" s="35">
        <v>21</v>
      </c>
      <c r="AE354" s="35">
        <f>F354*0</f>
        <v>0</v>
      </c>
      <c r="AF354" s="35">
        <f>F354*(1-0)</f>
        <v>0</v>
      </c>
      <c r="AG354" s="31" t="s">
        <v>11</v>
      </c>
      <c r="AM354" s="35">
        <f>E354*AE354</f>
        <v>0</v>
      </c>
      <c r="AN354" s="35">
        <f>E354*AF354</f>
        <v>0</v>
      </c>
      <c r="AO354" s="36" t="s">
        <v>577</v>
      </c>
      <c r="AP354" s="36" t="s">
        <v>583</v>
      </c>
      <c r="AQ354" s="28" t="s">
        <v>584</v>
      </c>
      <c r="AS354" s="35">
        <f>AM354+AN354</f>
        <v>0</v>
      </c>
      <c r="AT354" s="35">
        <f>F354/(100-AU354)*100</f>
        <v>0</v>
      </c>
      <c r="AU354" s="35">
        <v>0</v>
      </c>
      <c r="AV354" s="35">
        <f>K354</f>
        <v>0</v>
      </c>
    </row>
    <row r="355" spans="1:48" x14ac:dyDescent="0.2">
      <c r="A355" s="5"/>
      <c r="B355" s="13"/>
      <c r="C355" s="13" t="s">
        <v>639</v>
      </c>
      <c r="D355" s="5" t="s">
        <v>6</v>
      </c>
      <c r="E355" s="5" t="s">
        <v>6</v>
      </c>
      <c r="F355" s="5" t="s">
        <v>6</v>
      </c>
      <c r="G355" s="38">
        <f>SUM(G356:G358)</f>
        <v>0</v>
      </c>
      <c r="H355" s="38">
        <f>SUM(H356:H358)</f>
        <v>0</v>
      </c>
      <c r="I355" s="38">
        <f>G355+H355</f>
        <v>0</v>
      </c>
      <c r="J355" s="28"/>
      <c r="K355" s="38">
        <f>SUM(K356:K358)</f>
        <v>0</v>
      </c>
      <c r="L355" s="28"/>
      <c r="P355" s="35"/>
      <c r="R355" s="35"/>
      <c r="S355" s="35"/>
      <c r="T355" s="35"/>
      <c r="U355" s="35"/>
      <c r="V355" s="35"/>
      <c r="W355" s="35"/>
      <c r="X355" s="35"/>
      <c r="Y355" s="28"/>
      <c r="Z355" s="19"/>
      <c r="AA355" s="19"/>
      <c r="AB355" s="19"/>
      <c r="AD355" s="35"/>
      <c r="AE355" s="35"/>
      <c r="AF355" s="35"/>
      <c r="AG355" s="31"/>
      <c r="AM355" s="35"/>
      <c r="AN355" s="35"/>
      <c r="AO355" s="36"/>
      <c r="AP355" s="36"/>
      <c r="AQ355" s="28"/>
      <c r="AS355" s="35"/>
      <c r="AT355" s="35"/>
      <c r="AU355" s="35"/>
      <c r="AV355" s="35"/>
    </row>
    <row r="356" spans="1:48" x14ac:dyDescent="0.2">
      <c r="A356" s="6" t="s">
        <v>635</v>
      </c>
      <c r="B356" s="6" t="s">
        <v>636</v>
      </c>
      <c r="C356" s="6" t="s">
        <v>637</v>
      </c>
      <c r="D356" s="6" t="s">
        <v>638</v>
      </c>
      <c r="E356" s="21">
        <v>1</v>
      </c>
      <c r="F356" s="21">
        <v>0</v>
      </c>
      <c r="G356" s="21">
        <f>E356*AE356</f>
        <v>0</v>
      </c>
      <c r="H356" s="21">
        <f>I356-G356</f>
        <v>0</v>
      </c>
      <c r="I356" s="21">
        <f>E356*F356</f>
        <v>0</v>
      </c>
      <c r="J356" s="21">
        <v>0</v>
      </c>
      <c r="K356" s="21">
        <f>E356*J356</f>
        <v>0</v>
      </c>
      <c r="L356" s="32"/>
      <c r="P356" s="35"/>
      <c r="R356" s="35"/>
      <c r="S356" s="35"/>
      <c r="T356" s="35"/>
      <c r="U356" s="35"/>
      <c r="V356" s="35"/>
      <c r="W356" s="35"/>
      <c r="X356" s="35"/>
      <c r="Y356" s="28"/>
      <c r="Z356" s="19"/>
      <c r="AA356" s="19"/>
      <c r="AB356" s="19"/>
      <c r="AD356" s="35"/>
      <c r="AE356" s="35"/>
      <c r="AF356" s="35"/>
      <c r="AG356" s="31"/>
      <c r="AM356" s="35"/>
      <c r="AN356" s="35"/>
      <c r="AO356" s="36"/>
      <c r="AP356" s="36"/>
      <c r="AQ356" s="28"/>
      <c r="AS356" s="35"/>
      <c r="AT356" s="35"/>
      <c r="AU356" s="35"/>
      <c r="AV356" s="35"/>
    </row>
    <row r="357" spans="1:48" x14ac:dyDescent="0.2">
      <c r="A357" s="7"/>
      <c r="B357" s="7"/>
      <c r="C357" s="7"/>
      <c r="D357" s="7"/>
      <c r="E357" s="7"/>
      <c r="F357" s="7"/>
      <c r="G357" s="117" t="s">
        <v>535</v>
      </c>
      <c r="H357" s="74"/>
      <c r="I357" s="39">
        <f>I12+I39+I52+I58+I69+I77+I86+I99+I109+I114+I156+I163+I175+I193+I246+I322+I325+I335+I351</f>
        <v>0</v>
      </c>
      <c r="J357" s="7"/>
      <c r="K357" s="7"/>
      <c r="L357" s="7"/>
    </row>
    <row r="358" spans="1:48" ht="11.25" customHeight="1" x14ac:dyDescent="0.2">
      <c r="A358" s="8" t="s">
        <v>130</v>
      </c>
    </row>
    <row r="359" spans="1:48" x14ac:dyDescent="0.2">
      <c r="A359" s="81"/>
      <c r="B359" s="72"/>
      <c r="C359" s="72"/>
      <c r="D359" s="72"/>
      <c r="E359" s="72"/>
      <c r="F359" s="72"/>
      <c r="G359" s="72"/>
      <c r="H359" s="72"/>
      <c r="I359" s="72"/>
      <c r="J359" s="72"/>
      <c r="K359" s="72"/>
      <c r="L359" s="72"/>
      <c r="M359" s="72"/>
      <c r="N359" s="72"/>
    </row>
  </sheetData>
  <mergeCells count="91">
    <mergeCell ref="A359:N359"/>
    <mergeCell ref="C299:L299"/>
    <mergeCell ref="C302:L302"/>
    <mergeCell ref="C305:L305"/>
    <mergeCell ref="C309:L309"/>
    <mergeCell ref="C315:L315"/>
    <mergeCell ref="C328:L328"/>
    <mergeCell ref="C337:L337"/>
    <mergeCell ref="C342:L342"/>
    <mergeCell ref="C346:L346"/>
    <mergeCell ref="C348:L348"/>
    <mergeCell ref="G357:H357"/>
    <mergeCell ref="C296:L296"/>
    <mergeCell ref="C249:L249"/>
    <mergeCell ref="C256:L256"/>
    <mergeCell ref="C263:L263"/>
    <mergeCell ref="C272:L272"/>
    <mergeCell ref="C275:L275"/>
    <mergeCell ref="C278:L278"/>
    <mergeCell ref="C281:L281"/>
    <mergeCell ref="C284:L284"/>
    <mergeCell ref="C287:L287"/>
    <mergeCell ref="C290:L290"/>
    <mergeCell ref="C293:L293"/>
    <mergeCell ref="C245:L245"/>
    <mergeCell ref="C178:L178"/>
    <mergeCell ref="C184:L184"/>
    <mergeCell ref="C196:L196"/>
    <mergeCell ref="C201:L201"/>
    <mergeCell ref="C206:L206"/>
    <mergeCell ref="C211:L211"/>
    <mergeCell ref="C218:L218"/>
    <mergeCell ref="C221:L221"/>
    <mergeCell ref="C226:L226"/>
    <mergeCell ref="C229:L229"/>
    <mergeCell ref="C242:L242"/>
    <mergeCell ref="C172:L172"/>
    <mergeCell ref="C126:L126"/>
    <mergeCell ref="C130:L130"/>
    <mergeCell ref="C135:L135"/>
    <mergeCell ref="C138:L138"/>
    <mergeCell ref="C141:L141"/>
    <mergeCell ref="C145:L145"/>
    <mergeCell ref="C149:L149"/>
    <mergeCell ref="C152:L152"/>
    <mergeCell ref="C155:L155"/>
    <mergeCell ref="C166:L166"/>
    <mergeCell ref="C169:L169"/>
    <mergeCell ref="C122:L122"/>
    <mergeCell ref="C48:L48"/>
    <mergeCell ref="C49:L49"/>
    <mergeCell ref="C50:L50"/>
    <mergeCell ref="C51:L51"/>
    <mergeCell ref="C57:L57"/>
    <mergeCell ref="C61:L61"/>
    <mergeCell ref="C73:L73"/>
    <mergeCell ref="C76:L76"/>
    <mergeCell ref="C82:L82"/>
    <mergeCell ref="C85:L85"/>
    <mergeCell ref="C117:L117"/>
    <mergeCell ref="C43:L43"/>
    <mergeCell ref="A8:B9"/>
    <mergeCell ref="C8:C9"/>
    <mergeCell ref="D8:E9"/>
    <mergeCell ref="F8:G9"/>
    <mergeCell ref="H8:H9"/>
    <mergeCell ref="I8:L9"/>
    <mergeCell ref="G10:I10"/>
    <mergeCell ref="J10:K10"/>
    <mergeCell ref="C15:L15"/>
    <mergeCell ref="C23:L23"/>
    <mergeCell ref="C32:L32"/>
    <mergeCell ref="I6:L7"/>
    <mergeCell ref="A4:B5"/>
    <mergeCell ref="C4:C5"/>
    <mergeCell ref="D4:E5"/>
    <mergeCell ref="F4:G5"/>
    <mergeCell ref="H4:H5"/>
    <mergeCell ref="I4:L5"/>
    <mergeCell ref="A6:B7"/>
    <mergeCell ref="C6:C7"/>
    <mergeCell ref="D6:E7"/>
    <mergeCell ref="F6:G7"/>
    <mergeCell ref="H6:H7"/>
    <mergeCell ref="A1:L1"/>
    <mergeCell ref="A2:B3"/>
    <mergeCell ref="C2:C3"/>
    <mergeCell ref="D2:E3"/>
    <mergeCell ref="F2:G3"/>
    <mergeCell ref="H2:H3"/>
    <mergeCell ref="I2:L3"/>
  </mergeCells>
  <printOptions gridLines="1"/>
  <pageMargins left="0.39400000000000002" right="0.39400000000000002" top="0.59099999999999997" bottom="0.59099999999999997" header="0.5" footer="0.5"/>
  <pageSetup paperSize="9" scale="8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list rozpočtu</vt:lpstr>
      <vt:lpstr>Stavební rozpočet - součet</vt:lpstr>
      <vt:lpstr>Stavební rozpočet</vt:lpstr>
      <vt:lpstr>'Krycí list rozpočtu'!Oblast_tisku</vt:lpstr>
      <vt:lpstr>'Stavební rozpočet'!Oblast_tisku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Ovesný Petr, Ing.</cp:lastModifiedBy>
  <cp:lastPrinted>2019-05-29T11:28:25Z</cp:lastPrinted>
  <dcterms:created xsi:type="dcterms:W3CDTF">2018-06-15T07:29:31Z</dcterms:created>
  <dcterms:modified xsi:type="dcterms:W3CDTF">2019-05-30T04:30:51Z</dcterms:modified>
</cp:coreProperties>
</file>